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Administrative\Financial Services\Restricted Access Folders\Corporate Finance\Management Services\FFO\A&amp;E\OPA Budget Tool\"/>
    </mc:Choice>
  </mc:AlternateContent>
  <bookViews>
    <workbookView xWindow="0" yWindow="0" windowWidth="28800" windowHeight="13125" tabRatio="800"/>
  </bookViews>
  <sheets>
    <sheet name="User Guide" sheetId="2" r:id="rId1"/>
    <sheet name="OPA Budget " sheetId="13" r:id="rId2"/>
    <sheet name="Budgeted Staff Costs" sheetId="5" r:id="rId3"/>
    <sheet name="Non-Salary Expenses" sheetId="6" r:id="rId4"/>
    <sheet name="OPA Reconciliation" sheetId="4" r:id="rId5"/>
    <sheet name="Salary Cost Data - has formulas" sheetId="14" state="hidden" r:id="rId6"/>
    <sheet name="Distribution Flowchart" sheetId="1" state="hidden" r:id="rId7"/>
    <sheet name="2017 Salary Costs" sheetId="7" state="hidden" r:id="rId8"/>
    <sheet name="2018 Salary Costs" sheetId="16" state="hidden" r:id="rId9"/>
    <sheet name="2019 Salary Rates" sheetId="17" state="hidden" r:id="rId10"/>
    <sheet name="2020 Salary Rates" sheetId="15" state="hidden" r:id="rId11"/>
    <sheet name="2016 Salary Rates" sheetId="8" state="hidden" r:id="rId12"/>
    <sheet name="Lists" sheetId="9" state="hidden" r:id="rId13"/>
  </sheets>
  <externalReferences>
    <externalReference r:id="rId14"/>
    <externalReference r:id="rId15"/>
  </externalReferences>
  <definedNames>
    <definedName name="AcaFTHrPayRates" localSheetId="5">'Salary Cost Data - has formulas'!$B$31:$F$55</definedName>
    <definedName name="AcaFTHrPayRates">'2017 Salary Costs'!$B$30:$I$54</definedName>
    <definedName name="AcaFTPayRates" localSheetId="2">'Salary Cost Data - has formulas'!$B$5:$H$29</definedName>
    <definedName name="AcaFTPayRates" localSheetId="5">'Salary Cost Data - has formulas'!$B$5:$G$29</definedName>
    <definedName name="AcaFTPayRates">'2017 Salary Costs'!$B$4:$J$28</definedName>
    <definedName name="BottleContCost_Local">[1]Wines!$C$81</definedName>
    <definedName name="BottleContCost_Ozpak">[1]Wines!$C$80</definedName>
    <definedName name="BudgetCodes">[1]BudgetCodes!$A$2:$C$318</definedName>
    <definedName name="BudgetYear">'[2]Original Budget'!$O$2</definedName>
    <definedName name="CasualDays">'[1]Misc Cost'!$D$13</definedName>
    <definedName name="ChemicalData">[1]ChemicalData!$A$2:$AP$27</definedName>
    <definedName name="ChemicalSummaryDatabase">[1]ChemicalSummary!$B$4:$T$75</definedName>
    <definedName name="CONS_CelluloseRate">[1]ChemicalData!$AN$7</definedName>
    <definedName name="CONS_CoarseEarth">[1]ChemicalData!$AO$7</definedName>
    <definedName name="CONS_FineEarth">[1]ChemicalData!$AP$7</definedName>
    <definedName name="CONS_PadsPerRun">[1]ChemicalData!$AL$7</definedName>
    <definedName name="CONST_InfraLevy">'[1]Misc Cost'!$G$1</definedName>
    <definedName name="CONT_Chemicals">[1]Production!$M$66</definedName>
    <definedName name="CONT_Consumables">[1]Production!$M$58</definedName>
    <definedName name="CONT_Packaging">[1]Production!$M$59</definedName>
    <definedName name="DailyCasualRate">'[1]Misc Cost'!$D$17</definedName>
    <definedName name="DGBottles">[1]DryGoodsTypes!$A$6:$G$16</definedName>
    <definedName name="DGCartons">[1]DryGoodsTypes!$A$47:$E$61</definedName>
    <definedName name="DGClosures">[1]DryGoodsTypes!$A$34:$F$42</definedName>
    <definedName name="DGCost_Cartons">[1]DryGoodsNeeds!$W$49:$AH$49</definedName>
    <definedName name="DGCost_ScrewcapCSU">[1]DryGoodsNeeds!$AN$49</definedName>
    <definedName name="DGCost_ScrewcapPlain">[1]DryGoodsNeeds!$AO$49</definedName>
    <definedName name="DGLabels">[1]DryGoodsTypes!$A$75:$E$82</definedName>
    <definedName name="DGNests">[1]DryGoodsTypes!$A$21:$F$29</definedName>
    <definedName name="DGPallets">[1]DryGoodsTypes!$A$66:$D$70</definedName>
    <definedName name="EnzymeDatabase">[1]ChemicalData!$BP$2:$BY$19</definedName>
    <definedName name="ForexRates">[1]Oak!$A$2:$B$4</definedName>
    <definedName name="FortBottlingVolume">[1]FortBottling!$H$34</definedName>
    <definedName name="FruitData">[1]Fruit!$A$5:$W$49</definedName>
    <definedName name="Fuel_V">[1]Vineyard!$I$37</definedName>
    <definedName name="Gas_Forklift">'[1]Misc Cost'!$D$32</definedName>
    <definedName name="Gas_HireCO2">'[1]Misc Cost'!$E$41</definedName>
    <definedName name="Gas_HireCyl">'[1]Misc Cost'!$E$43</definedName>
    <definedName name="Gas_HireN2">'[1]Misc Cost'!$E$42</definedName>
    <definedName name="Gas_O2N2">'[1]Misc Cost'!$E$52</definedName>
    <definedName name="GenCasHrPayRates" localSheetId="2">'Salary Cost Data - has formulas'!$B$59:$I$110</definedName>
    <definedName name="GenCasHrPayRates" localSheetId="5">'Salary Cost Data - has formulas'!$B$59:$I$110</definedName>
    <definedName name="GenCasHrPayRates">'2017 Salary Costs'!$B$58:$L$86</definedName>
    <definedName name="GenCasPayRates" localSheetId="1">#REF!</definedName>
    <definedName name="GenFTHrPayRates" localSheetId="5">'Salary Cost Data - has formulas'!#REF!</definedName>
    <definedName name="GenFTHrPayRates">'2017 Salary Costs'!$B$108:$I$115</definedName>
    <definedName name="GenFTPayRates" localSheetId="2">'Salary Cost Data - has formulas'!$B$59:$H$85</definedName>
    <definedName name="GenFTPayRates">'2017 Salary Costs'!$B$58:$J$65</definedName>
    <definedName name="Hire_ChepBins">'[1]Misc Cost'!$E$40</definedName>
    <definedName name="Hire_ChepPallets">'[1]Misc Cost'!$E$39</definedName>
    <definedName name="Intake">[1]Intake!$A$8:$O$62,[1]Intake!$A$68:$O$72</definedName>
    <definedName name="LabelSetupFortified">[1]FortBottling!$AK$34</definedName>
    <definedName name="LabelSetupRed">[1]RedBottling!$BC$34</definedName>
    <definedName name="LabelSetupWhite">[1]WhiteBottling!$BE$34</definedName>
    <definedName name="LabourTypes">[1]Codes!$C$21:$G$25</definedName>
    <definedName name="LeesEarthRate">[1]ChemicalData!$AO$3</definedName>
    <definedName name="Levy_WineryAverageRate">'[1]Misc Cost'!$F$56</definedName>
    <definedName name="Maint_Refrig">'[1]Misc Cost'!$C$20</definedName>
    <definedName name="MLFTotalRequirements">[1]ChemicalData!$BF$2:$BO$21</definedName>
    <definedName name="Oak_Available">[1]Oak!$A$13:$O$36</definedName>
    <definedName name="Oak_Types">[1]Oak!$D$2:$K$10</definedName>
    <definedName name="ONCOST_Leave_Perm">'[1]Misc Cost'!$C$119</definedName>
    <definedName name="ONCOST_Payroll">'[1]Misc Cost'!$B$120</definedName>
    <definedName name="ONCOST_Payroll_Perm">'[1]Misc Cost'!$C$120</definedName>
    <definedName name="ONCOST_Super">'[1]Misc Cost'!$B$118</definedName>
    <definedName name="ONCOST_Super_Perm">'[1]Misc Cost'!$C$118</definedName>
    <definedName name="ONCOST_Total">'[1]Misc Cost'!$B$122</definedName>
    <definedName name="ONCOST_Unisuper">'[1]Misc Cost'!$B$124</definedName>
    <definedName name="ONCOST_WorkComp">'[1]Misc Cost'!$B$121</definedName>
    <definedName name="ONCOST_WorkComp_Perm">'[1]Misc Cost'!$C$121</definedName>
    <definedName name="PackagingData">[1]PackagingTypes!$A$5:$BN$41</definedName>
    <definedName name="PackagingPurchaseTotal">[1]DryGoodsNeeds!$C$49</definedName>
    <definedName name="PlanCases">[1]Wines!$D$58</definedName>
    <definedName name="PrevVintageAvailable">[1]RedBlending!$B$58:$T$86</definedName>
    <definedName name="PrevVintageWhite">[1]WhiteBlending!$B$76:$T$104</definedName>
    <definedName name="_xlnm.Print_Area" localSheetId="2">'Budgeted Staff Costs'!$B$3:$G$32</definedName>
    <definedName name="_xlnm.Print_Area" localSheetId="1">'OPA Budget '!$B$3:$M$48</definedName>
    <definedName name="_xlnm.Print_Area" localSheetId="4">'OPA Reconciliation'!$B$4:$H$37</definedName>
    <definedName name="_xlnm.Print_Area" localSheetId="0">'User Guide'!$B$5:$C$67,'User Guide'!$B$2:$C$3</definedName>
    <definedName name="ProdTotalExp">[1]Production!$G$73</definedName>
    <definedName name="PurchasedWineRed">[1]RedBlending!$T$55</definedName>
    <definedName name="PurchasedWineWhite">[1]WhiteBlending!$T$73</definedName>
    <definedName name="RedBottlingVolume">[1]RedBottling!$H$34</definedName>
    <definedName name="RedCarriedOver">[1]RedBlending!$U$47</definedName>
    <definedName name="RedFermentVolume">[1]RedFerment!$BK$46</definedName>
    <definedName name="RedJuice">[1]RedFerment!$B$8:$DO$45</definedName>
    <definedName name="RedPostFermentVolume">[1]RedFerment!$BL$46</definedName>
    <definedName name="RedUnused">[1]RedFerment!$DP$46</definedName>
    <definedName name="RivCoop_V_Misc">'[1]Misc Cost'!$D$22</definedName>
    <definedName name="RivCoop_V_ProtCloth">'[1]Misc Cost'!$D$29</definedName>
    <definedName name="RivCoop_W_Misc">'[1]Misc Cost'!$C$22</definedName>
    <definedName name="RivCoop_W_Oil">'[1]Misc Cost'!$C$23</definedName>
    <definedName name="RivCoop_W_ProtCloth">'[1]Misc Cost'!$C$29</definedName>
    <definedName name="RivMUS">[1]Vineyard!$J$88</definedName>
    <definedName name="RivSHZ">[1]Vineyard!$J$81</definedName>
    <definedName name="SalariesTotal">'[1]Misc Cost'!$B$110</definedName>
    <definedName name="SalariesVineyardOrange">'[1]Misc Cost'!$B$115</definedName>
    <definedName name="ServicesMiscFixed">'[1]Misc Cost'!$E$69</definedName>
    <definedName name="SparkBottlingVolume">[1]SparkBottling!$H$34</definedName>
    <definedName name="SpiritDatabase">[1]ChemicalData!$CJ$2:$CM$19</definedName>
    <definedName name="TanninDatabase">[1]ChemicalData!$BZ$2:$CI$19</definedName>
    <definedName name="TirageCorrection">[1]PackagingTypes!$C$48</definedName>
    <definedName name="Total_FruitTonnes">[1]Fruit!$L$50</definedName>
    <definedName name="TotalAllocatedConsumables">[1]Wines!$F$77</definedName>
    <definedName name="TotalCaseCost">[1]Wines!$L$58</definedName>
    <definedName name="TotalCasesBottled">[1]Wines!$K$58</definedName>
    <definedName name="TotalCasesProduced">[1]Wines!$J$58</definedName>
    <definedName name="TotalConsumables">'[1]Misc Cost'!$E$53</definedName>
    <definedName name="TotalCost_BottlingServices">[1]Wines!$N$58</definedName>
    <definedName name="TotalCost_PackagingLabour">[1]Wines!$Q$58</definedName>
    <definedName name="TotalCost_PackagingMaterials">[1]Wines!$O$58</definedName>
    <definedName name="TotalCost_PackagingTransport">[1]Wines!$P$58</definedName>
    <definedName name="TotalFruitCost">[1]Fruit!$H$52</definedName>
    <definedName name="TotalFruitProcessing">[1]Fruit!$H$54</definedName>
    <definedName name="TotalFruitTransport">[1]Fruit!$H$53</definedName>
    <definedName name="TotalLabelSetup">[1]DryGoodsNeeds!$BB$39</definedName>
    <definedName name="TotalLabourOverheads">[1]Production!$K$73</definedName>
    <definedName name="TotalLabourUnits">[1]Wines!$D$77</definedName>
    <definedName name="TotalLitres">[1]Wines!$C$77</definedName>
    <definedName name="TotalOakCost">[1]Oak!$J$40</definedName>
    <definedName name="TotalOakPlankCost">[1]Oak!$H$40</definedName>
    <definedName name="TotalOverheads">[1]Production!$I$73</definedName>
    <definedName name="TotalVariableLabour">[1]Production!$L$73</definedName>
    <definedName name="TotalVariablePurchases">[1]Production!$J$73</definedName>
    <definedName name="TranspOrange">'[1]Misc Cost'!$C$91</definedName>
    <definedName name="TranspYoung">'[1]Misc Cost'!$C$92</definedName>
    <definedName name="UnitLabour">[1]Wines!$C$64</definedName>
    <definedName name="UnitOverhead">[1]Wines!$C$63</definedName>
    <definedName name="WhiteBottlingVolume">[1]WhiteBottling!$H$34</definedName>
    <definedName name="WhiteCarriedOver">[1]WhiteBlending!$U$65</definedName>
    <definedName name="WhiteFermentVolume">[1]WhiteFerment!$AZ$58</definedName>
    <definedName name="WhiteJuice">[1]WhiteFerment!$B$8:$DF$57</definedName>
    <definedName name="WhiteJuiceCost">[1]WhiteFerment!$I$61</definedName>
    <definedName name="WhiteJuiceTransport">[1]WhiteFerment!$I$63</definedName>
    <definedName name="WhitePostFermentVolume">[1]WhiteFerment!$BA$58</definedName>
    <definedName name="WhiteUnused">[1]WhiteFerment!$DG$58</definedName>
    <definedName name="YeastTotalRequirements">[1]ChemicalData!$AR$2:$BE$19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4" l="1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5" i="14"/>
  <c r="M5" i="15"/>
  <c r="M6" i="15"/>
  <c r="M7" i="15"/>
  <c r="M8" i="15"/>
  <c r="M9" i="15"/>
  <c r="M10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4" i="15"/>
  <c r="F58" i="15"/>
  <c r="C104" i="17" l="1"/>
  <c r="C100" i="17"/>
  <c r="C96" i="17"/>
  <c r="Q87" i="17"/>
  <c r="R87" i="17" s="1"/>
  <c r="P87" i="17"/>
  <c r="S87" i="17" s="1"/>
  <c r="O87" i="17"/>
  <c r="C87" i="17"/>
  <c r="Q86" i="17"/>
  <c r="R86" i="17" s="1"/>
  <c r="P86" i="17"/>
  <c r="O86" i="17"/>
  <c r="S86" i="17" s="1"/>
  <c r="C86" i="17"/>
  <c r="Q85" i="17"/>
  <c r="R85" i="17" s="1"/>
  <c r="P85" i="17"/>
  <c r="S85" i="17" s="1"/>
  <c r="O85" i="17"/>
  <c r="C85" i="17"/>
  <c r="G84" i="17"/>
  <c r="H84" i="17" s="1"/>
  <c r="I84" i="17" s="1"/>
  <c r="F84" i="17"/>
  <c r="E84" i="17"/>
  <c r="D84" i="17"/>
  <c r="H83" i="17"/>
  <c r="I83" i="17" s="1"/>
  <c r="G83" i="17"/>
  <c r="F83" i="17"/>
  <c r="E83" i="17"/>
  <c r="D83" i="17"/>
  <c r="G82" i="17"/>
  <c r="H82" i="17" s="1"/>
  <c r="I82" i="17" s="1"/>
  <c r="F82" i="17"/>
  <c r="E82" i="17"/>
  <c r="D82" i="17"/>
  <c r="H81" i="17"/>
  <c r="I81" i="17" s="1"/>
  <c r="G81" i="17"/>
  <c r="F81" i="17"/>
  <c r="E81" i="17"/>
  <c r="D81" i="17"/>
  <c r="G80" i="17"/>
  <c r="H80" i="17" s="1"/>
  <c r="I80" i="17" s="1"/>
  <c r="F80" i="17"/>
  <c r="E80" i="17"/>
  <c r="D80" i="17"/>
  <c r="H79" i="17"/>
  <c r="I79" i="17" s="1"/>
  <c r="G79" i="17"/>
  <c r="F79" i="17"/>
  <c r="E79" i="17"/>
  <c r="D79" i="17"/>
  <c r="G78" i="17"/>
  <c r="H78" i="17" s="1"/>
  <c r="I78" i="17" s="1"/>
  <c r="F78" i="17"/>
  <c r="E78" i="17"/>
  <c r="D78" i="17"/>
  <c r="H77" i="17"/>
  <c r="I77" i="17" s="1"/>
  <c r="G77" i="17"/>
  <c r="F77" i="17"/>
  <c r="E77" i="17"/>
  <c r="D77" i="17"/>
  <c r="G76" i="17"/>
  <c r="H76" i="17" s="1"/>
  <c r="I76" i="17" s="1"/>
  <c r="F76" i="17"/>
  <c r="E76" i="17"/>
  <c r="D76" i="17"/>
  <c r="H75" i="17"/>
  <c r="I75" i="17" s="1"/>
  <c r="G75" i="17"/>
  <c r="F75" i="17"/>
  <c r="E75" i="17"/>
  <c r="D75" i="17"/>
  <c r="G74" i="17"/>
  <c r="H74" i="17" s="1"/>
  <c r="I74" i="17" s="1"/>
  <c r="F74" i="17"/>
  <c r="E74" i="17"/>
  <c r="D74" i="17"/>
  <c r="I73" i="17"/>
  <c r="H73" i="17"/>
  <c r="G73" i="17"/>
  <c r="F73" i="17"/>
  <c r="E73" i="17"/>
  <c r="D73" i="17"/>
  <c r="G72" i="17"/>
  <c r="H72" i="17" s="1"/>
  <c r="I72" i="17" s="1"/>
  <c r="F72" i="17"/>
  <c r="E72" i="17"/>
  <c r="D72" i="17"/>
  <c r="H71" i="17"/>
  <c r="I71" i="17" s="1"/>
  <c r="G71" i="17"/>
  <c r="F71" i="17"/>
  <c r="E71" i="17"/>
  <c r="D71" i="17"/>
  <c r="G70" i="17"/>
  <c r="H70" i="17" s="1"/>
  <c r="I70" i="17" s="1"/>
  <c r="F70" i="17"/>
  <c r="E70" i="17"/>
  <c r="D70" i="17"/>
  <c r="H69" i="17"/>
  <c r="I69" i="17" s="1"/>
  <c r="G69" i="17"/>
  <c r="F69" i="17"/>
  <c r="E69" i="17"/>
  <c r="D69" i="17"/>
  <c r="G68" i="17"/>
  <c r="H68" i="17" s="1"/>
  <c r="I68" i="17" s="1"/>
  <c r="F68" i="17"/>
  <c r="E68" i="17"/>
  <c r="D68" i="17"/>
  <c r="H67" i="17"/>
  <c r="I67" i="17" s="1"/>
  <c r="G67" i="17"/>
  <c r="F67" i="17"/>
  <c r="E67" i="17"/>
  <c r="D67" i="17"/>
  <c r="G66" i="17"/>
  <c r="H66" i="17" s="1"/>
  <c r="I66" i="17" s="1"/>
  <c r="F66" i="17"/>
  <c r="E66" i="17"/>
  <c r="D66" i="17"/>
  <c r="I65" i="17"/>
  <c r="H65" i="17"/>
  <c r="G65" i="17"/>
  <c r="F65" i="17"/>
  <c r="E65" i="17"/>
  <c r="D65" i="17"/>
  <c r="G64" i="17"/>
  <c r="H64" i="17" s="1"/>
  <c r="I64" i="17" s="1"/>
  <c r="F64" i="17"/>
  <c r="E64" i="17"/>
  <c r="D64" i="17"/>
  <c r="H63" i="17"/>
  <c r="I63" i="17" s="1"/>
  <c r="G63" i="17"/>
  <c r="F63" i="17"/>
  <c r="E63" i="17"/>
  <c r="D63" i="17"/>
  <c r="G62" i="17"/>
  <c r="H62" i="17" s="1"/>
  <c r="I62" i="17" s="1"/>
  <c r="F62" i="17"/>
  <c r="E62" i="17"/>
  <c r="D62" i="17"/>
  <c r="H61" i="17"/>
  <c r="I61" i="17" s="1"/>
  <c r="G61" i="17"/>
  <c r="F61" i="17"/>
  <c r="E61" i="17"/>
  <c r="D61" i="17"/>
  <c r="G60" i="17"/>
  <c r="H60" i="17" s="1"/>
  <c r="I60" i="17" s="1"/>
  <c r="F60" i="17"/>
  <c r="E60" i="17"/>
  <c r="D60" i="17"/>
  <c r="H59" i="17"/>
  <c r="I59" i="17" s="1"/>
  <c r="G59" i="17"/>
  <c r="F59" i="17"/>
  <c r="E59" i="17"/>
  <c r="D59" i="17"/>
  <c r="G58" i="17"/>
  <c r="H58" i="17" s="1"/>
  <c r="I58" i="17" s="1"/>
  <c r="F58" i="17"/>
  <c r="E58" i="17"/>
  <c r="D58" i="17"/>
  <c r="G28" i="17"/>
  <c r="H28" i="17" s="1"/>
  <c r="F28" i="17"/>
  <c r="E28" i="17"/>
  <c r="D28" i="17"/>
  <c r="H27" i="17"/>
  <c r="G27" i="17"/>
  <c r="F27" i="17"/>
  <c r="E27" i="17"/>
  <c r="D27" i="17"/>
  <c r="G26" i="17"/>
  <c r="H26" i="17" s="1"/>
  <c r="F26" i="17"/>
  <c r="E26" i="17"/>
  <c r="D26" i="17"/>
  <c r="G25" i="17"/>
  <c r="H25" i="17" s="1"/>
  <c r="F25" i="17"/>
  <c r="E25" i="17"/>
  <c r="D25" i="17"/>
  <c r="G24" i="17"/>
  <c r="H24" i="17" s="1"/>
  <c r="F24" i="17"/>
  <c r="E24" i="17"/>
  <c r="D24" i="17"/>
  <c r="G23" i="17"/>
  <c r="H23" i="17" s="1"/>
  <c r="F23" i="17"/>
  <c r="E23" i="17"/>
  <c r="D23" i="17"/>
  <c r="T22" i="17"/>
  <c r="T23" i="17" s="1"/>
  <c r="U23" i="17" s="1"/>
  <c r="G22" i="17"/>
  <c r="H22" i="17" s="1"/>
  <c r="F22" i="17"/>
  <c r="E22" i="17"/>
  <c r="D22" i="17"/>
  <c r="U21" i="17"/>
  <c r="H21" i="17"/>
  <c r="G21" i="17"/>
  <c r="F21" i="17"/>
  <c r="E21" i="17"/>
  <c r="D21" i="17"/>
  <c r="U20" i="17"/>
  <c r="G20" i="17"/>
  <c r="H20" i="17" s="1"/>
  <c r="F20" i="17"/>
  <c r="E20" i="17"/>
  <c r="D20" i="17"/>
  <c r="U19" i="17"/>
  <c r="G19" i="17"/>
  <c r="H19" i="17" s="1"/>
  <c r="F19" i="17"/>
  <c r="E19" i="17"/>
  <c r="D19" i="17"/>
  <c r="U18" i="17"/>
  <c r="G18" i="17"/>
  <c r="H18" i="17" s="1"/>
  <c r="F18" i="17"/>
  <c r="E18" i="17"/>
  <c r="D18" i="17"/>
  <c r="U17" i="17"/>
  <c r="G17" i="17"/>
  <c r="H17" i="17" s="1"/>
  <c r="F17" i="17"/>
  <c r="E17" i="17"/>
  <c r="D17" i="17"/>
  <c r="H16" i="17"/>
  <c r="G16" i="17"/>
  <c r="F16" i="17"/>
  <c r="E16" i="17"/>
  <c r="D16" i="17"/>
  <c r="G15" i="17"/>
  <c r="H15" i="17" s="1"/>
  <c r="F15" i="17"/>
  <c r="E15" i="17"/>
  <c r="D15" i="17"/>
  <c r="G14" i="17"/>
  <c r="H14" i="17" s="1"/>
  <c r="F14" i="17"/>
  <c r="E14" i="17"/>
  <c r="D14" i="17"/>
  <c r="T13" i="17"/>
  <c r="U13" i="17" s="1"/>
  <c r="G13" i="17"/>
  <c r="H13" i="17" s="1"/>
  <c r="F13" i="17"/>
  <c r="E13" i="17"/>
  <c r="D13" i="17"/>
  <c r="T12" i="17"/>
  <c r="U12" i="17" s="1"/>
  <c r="H12" i="17"/>
  <c r="G12" i="17"/>
  <c r="F12" i="17"/>
  <c r="E12" i="17"/>
  <c r="D12" i="17"/>
  <c r="U11" i="17"/>
  <c r="G11" i="17"/>
  <c r="H11" i="17" s="1"/>
  <c r="F11" i="17"/>
  <c r="E11" i="17"/>
  <c r="D11" i="17"/>
  <c r="U10" i="17"/>
  <c r="H10" i="17"/>
  <c r="G10" i="17"/>
  <c r="F10" i="17"/>
  <c r="E10" i="17"/>
  <c r="D10" i="17"/>
  <c r="U9" i="17"/>
  <c r="G9" i="17"/>
  <c r="H9" i="17" s="1"/>
  <c r="F9" i="17"/>
  <c r="E9" i="17"/>
  <c r="D9" i="17"/>
  <c r="U8" i="17"/>
  <c r="G8" i="17"/>
  <c r="H8" i="17" s="1"/>
  <c r="F8" i="17"/>
  <c r="E8" i="17"/>
  <c r="D8" i="17"/>
  <c r="U7" i="17"/>
  <c r="G7" i="17"/>
  <c r="H7" i="17" s="1"/>
  <c r="F7" i="17"/>
  <c r="E7" i="17"/>
  <c r="D7" i="17"/>
  <c r="P6" i="17"/>
  <c r="P8" i="17" s="1"/>
  <c r="G6" i="17"/>
  <c r="H6" i="17" s="1"/>
  <c r="F6" i="17"/>
  <c r="E6" i="17"/>
  <c r="D6" i="17"/>
  <c r="G5" i="17"/>
  <c r="H5" i="17" s="1"/>
  <c r="F5" i="17"/>
  <c r="E5" i="17"/>
  <c r="D5" i="17"/>
  <c r="G4" i="17"/>
  <c r="H4" i="17" s="1"/>
  <c r="F4" i="17"/>
  <c r="E4" i="17"/>
  <c r="D4" i="17"/>
  <c r="M1" i="17"/>
  <c r="F86" i="17" l="1"/>
  <c r="G86" i="17" s="1"/>
  <c r="H86" i="17" s="1"/>
  <c r="I86" i="17" s="1"/>
  <c r="E86" i="17"/>
  <c r="D86" i="17"/>
  <c r="C105" i="17"/>
  <c r="C97" i="17"/>
  <c r="C89" i="17"/>
  <c r="C107" i="17"/>
  <c r="C99" i="17"/>
  <c r="C106" i="17"/>
  <c r="C98" i="17"/>
  <c r="C90" i="17"/>
  <c r="C91" i="17"/>
  <c r="C109" i="17"/>
  <c r="C101" i="17"/>
  <c r="C93" i="17"/>
  <c r="C102" i="17"/>
  <c r="C94" i="17"/>
  <c r="C103" i="17"/>
  <c r="C95" i="17"/>
  <c r="C88" i="17"/>
  <c r="F104" i="17"/>
  <c r="G104" i="17" s="1"/>
  <c r="H104" i="17" s="1"/>
  <c r="I104" i="17" s="1"/>
  <c r="E104" i="17"/>
  <c r="D104" i="17"/>
  <c r="F85" i="17"/>
  <c r="G85" i="17" s="1"/>
  <c r="H85" i="17" s="1"/>
  <c r="I85" i="17" s="1"/>
  <c r="D85" i="17"/>
  <c r="E85" i="17"/>
  <c r="F96" i="17"/>
  <c r="G96" i="17" s="1"/>
  <c r="H96" i="17" s="1"/>
  <c r="I96" i="17" s="1"/>
  <c r="E96" i="17"/>
  <c r="D96" i="17"/>
  <c r="C92" i="17"/>
  <c r="F100" i="17"/>
  <c r="G100" i="17" s="1"/>
  <c r="H100" i="17" s="1"/>
  <c r="I100" i="17" s="1"/>
  <c r="E100" i="17"/>
  <c r="D100" i="17"/>
  <c r="F87" i="17"/>
  <c r="G87" i="17" s="1"/>
  <c r="H87" i="17" s="1"/>
  <c r="I87" i="17" s="1"/>
  <c r="E87" i="17"/>
  <c r="D87" i="17"/>
  <c r="U22" i="17"/>
  <c r="C108" i="17"/>
  <c r="C88" i="14"/>
  <c r="C87" i="14"/>
  <c r="C106" i="16"/>
  <c r="F106" i="16" s="1"/>
  <c r="G106" i="16" s="1"/>
  <c r="H106" i="16" s="1"/>
  <c r="I106" i="16" s="1"/>
  <c r="C102" i="16"/>
  <c r="F102" i="16" s="1"/>
  <c r="G102" i="16" s="1"/>
  <c r="H102" i="16" s="1"/>
  <c r="I102" i="16" s="1"/>
  <c r="C98" i="16"/>
  <c r="F98" i="16" s="1"/>
  <c r="G98" i="16" s="1"/>
  <c r="H98" i="16" s="1"/>
  <c r="I98" i="16" s="1"/>
  <c r="C94" i="16"/>
  <c r="F94" i="16" s="1"/>
  <c r="G94" i="16" s="1"/>
  <c r="H94" i="16" s="1"/>
  <c r="I94" i="16" s="1"/>
  <c r="C90" i="16"/>
  <c r="F90" i="16" s="1"/>
  <c r="G90" i="16" s="1"/>
  <c r="H90" i="16" s="1"/>
  <c r="I90" i="16" s="1"/>
  <c r="R87" i="16"/>
  <c r="Q87" i="16"/>
  <c r="P87" i="16"/>
  <c r="O87" i="16"/>
  <c r="S87" i="16" s="1"/>
  <c r="F87" i="16"/>
  <c r="G87" i="16" s="1"/>
  <c r="H87" i="16" s="1"/>
  <c r="I87" i="16" s="1"/>
  <c r="E87" i="16"/>
  <c r="D87" i="16"/>
  <c r="C87" i="16"/>
  <c r="R86" i="16"/>
  <c r="Q86" i="16"/>
  <c r="P86" i="16"/>
  <c r="O86" i="16"/>
  <c r="S86" i="16" s="1"/>
  <c r="F86" i="16"/>
  <c r="G86" i="16" s="1"/>
  <c r="H86" i="16" s="1"/>
  <c r="I86" i="16" s="1"/>
  <c r="E86" i="16"/>
  <c r="D86" i="16"/>
  <c r="C86" i="16"/>
  <c r="R85" i="16"/>
  <c r="Q85" i="16"/>
  <c r="P85" i="16"/>
  <c r="O85" i="16"/>
  <c r="S85" i="16" s="1"/>
  <c r="H84" i="16"/>
  <c r="I84" i="16" s="1"/>
  <c r="G84" i="16"/>
  <c r="F84" i="16"/>
  <c r="E84" i="16"/>
  <c r="D84" i="16"/>
  <c r="G83" i="16"/>
  <c r="H83" i="16" s="1"/>
  <c r="I83" i="16" s="1"/>
  <c r="F83" i="16"/>
  <c r="E83" i="16"/>
  <c r="D83" i="16"/>
  <c r="H82" i="16"/>
  <c r="I82" i="16" s="1"/>
  <c r="G82" i="16"/>
  <c r="F82" i="16"/>
  <c r="E82" i="16"/>
  <c r="D82" i="16"/>
  <c r="G81" i="16"/>
  <c r="H81" i="16" s="1"/>
  <c r="I81" i="16" s="1"/>
  <c r="F81" i="16"/>
  <c r="E81" i="16"/>
  <c r="D81" i="16"/>
  <c r="H80" i="16"/>
  <c r="I80" i="16" s="1"/>
  <c r="G80" i="16"/>
  <c r="F80" i="16"/>
  <c r="E80" i="16"/>
  <c r="D80" i="16"/>
  <c r="G79" i="16"/>
  <c r="H79" i="16" s="1"/>
  <c r="I79" i="16" s="1"/>
  <c r="F79" i="16"/>
  <c r="E79" i="16"/>
  <c r="D79" i="16"/>
  <c r="H78" i="16"/>
  <c r="I78" i="16" s="1"/>
  <c r="G78" i="16"/>
  <c r="F78" i="16"/>
  <c r="E78" i="16"/>
  <c r="D78" i="16"/>
  <c r="G77" i="16"/>
  <c r="H77" i="16" s="1"/>
  <c r="I77" i="16" s="1"/>
  <c r="F77" i="16"/>
  <c r="E77" i="16"/>
  <c r="D77" i="16"/>
  <c r="H76" i="16"/>
  <c r="I76" i="16" s="1"/>
  <c r="G76" i="16"/>
  <c r="F76" i="16"/>
  <c r="E76" i="16"/>
  <c r="D76" i="16"/>
  <c r="G75" i="16"/>
  <c r="H75" i="16" s="1"/>
  <c r="I75" i="16" s="1"/>
  <c r="F75" i="16"/>
  <c r="E75" i="16"/>
  <c r="D75" i="16"/>
  <c r="H74" i="16"/>
  <c r="I74" i="16" s="1"/>
  <c r="G74" i="16"/>
  <c r="F74" i="16"/>
  <c r="E74" i="16"/>
  <c r="D74" i="16"/>
  <c r="G73" i="16"/>
  <c r="H73" i="16" s="1"/>
  <c r="I73" i="16" s="1"/>
  <c r="F73" i="16"/>
  <c r="E73" i="16"/>
  <c r="D73" i="16"/>
  <c r="H72" i="16"/>
  <c r="I72" i="16" s="1"/>
  <c r="G72" i="16"/>
  <c r="F72" i="16"/>
  <c r="E72" i="16"/>
  <c r="D72" i="16"/>
  <c r="G71" i="16"/>
  <c r="H71" i="16" s="1"/>
  <c r="I71" i="16" s="1"/>
  <c r="F71" i="16"/>
  <c r="E71" i="16"/>
  <c r="D71" i="16"/>
  <c r="H70" i="16"/>
  <c r="I70" i="16" s="1"/>
  <c r="G70" i="16"/>
  <c r="F70" i="16"/>
  <c r="E70" i="16"/>
  <c r="D70" i="16"/>
  <c r="G69" i="16"/>
  <c r="H69" i="16" s="1"/>
  <c r="I69" i="16" s="1"/>
  <c r="F69" i="16"/>
  <c r="E69" i="16"/>
  <c r="D69" i="16"/>
  <c r="H68" i="16"/>
  <c r="I68" i="16" s="1"/>
  <c r="G68" i="16"/>
  <c r="F68" i="16"/>
  <c r="E68" i="16"/>
  <c r="D68" i="16"/>
  <c r="G67" i="16"/>
  <c r="H67" i="16" s="1"/>
  <c r="I67" i="16" s="1"/>
  <c r="F67" i="16"/>
  <c r="E67" i="16"/>
  <c r="D67" i="16"/>
  <c r="H66" i="16"/>
  <c r="I66" i="16" s="1"/>
  <c r="G66" i="16"/>
  <c r="F66" i="16"/>
  <c r="E66" i="16"/>
  <c r="D66" i="16"/>
  <c r="G65" i="16"/>
  <c r="H65" i="16" s="1"/>
  <c r="I65" i="16" s="1"/>
  <c r="F65" i="16"/>
  <c r="E65" i="16"/>
  <c r="D65" i="16"/>
  <c r="H64" i="16"/>
  <c r="I64" i="16" s="1"/>
  <c r="G64" i="16"/>
  <c r="F64" i="16"/>
  <c r="E64" i="16"/>
  <c r="D64" i="16"/>
  <c r="G63" i="16"/>
  <c r="H63" i="16" s="1"/>
  <c r="I63" i="16" s="1"/>
  <c r="F63" i="16"/>
  <c r="E63" i="16"/>
  <c r="D63" i="16"/>
  <c r="H62" i="16"/>
  <c r="I62" i="16" s="1"/>
  <c r="G62" i="16"/>
  <c r="F62" i="16"/>
  <c r="E62" i="16"/>
  <c r="D62" i="16"/>
  <c r="G61" i="16"/>
  <c r="H61" i="16" s="1"/>
  <c r="I61" i="16" s="1"/>
  <c r="F61" i="16"/>
  <c r="E61" i="16"/>
  <c r="D61" i="16"/>
  <c r="H60" i="16"/>
  <c r="I60" i="16" s="1"/>
  <c r="G60" i="16"/>
  <c r="F60" i="16"/>
  <c r="E60" i="16"/>
  <c r="D60" i="16"/>
  <c r="G59" i="16"/>
  <c r="H59" i="16" s="1"/>
  <c r="I59" i="16" s="1"/>
  <c r="F59" i="16"/>
  <c r="E59" i="16"/>
  <c r="D59" i="16"/>
  <c r="H58" i="16"/>
  <c r="I58" i="16" s="1"/>
  <c r="G58" i="16"/>
  <c r="F58" i="16"/>
  <c r="E58" i="16"/>
  <c r="D58" i="16"/>
  <c r="H28" i="16"/>
  <c r="G28" i="16"/>
  <c r="F28" i="16"/>
  <c r="E28" i="16"/>
  <c r="D28" i="16"/>
  <c r="G27" i="16"/>
  <c r="H27" i="16" s="1"/>
  <c r="F27" i="16"/>
  <c r="E27" i="16"/>
  <c r="D27" i="16"/>
  <c r="G26" i="16"/>
  <c r="H26" i="16" s="1"/>
  <c r="F26" i="16"/>
  <c r="E26" i="16"/>
  <c r="D26" i="16"/>
  <c r="H25" i="16"/>
  <c r="G25" i="16"/>
  <c r="F25" i="16"/>
  <c r="E25" i="16"/>
  <c r="D25" i="16"/>
  <c r="H24" i="16"/>
  <c r="G24" i="16"/>
  <c r="F24" i="16"/>
  <c r="E24" i="16"/>
  <c r="D24" i="16"/>
  <c r="H23" i="16"/>
  <c r="G23" i="16"/>
  <c r="F23" i="16"/>
  <c r="E23" i="16"/>
  <c r="D23" i="16"/>
  <c r="U22" i="16"/>
  <c r="T22" i="16"/>
  <c r="T23" i="16" s="1"/>
  <c r="U23" i="16" s="1"/>
  <c r="G22" i="16"/>
  <c r="H22" i="16" s="1"/>
  <c r="F22" i="16"/>
  <c r="E22" i="16"/>
  <c r="D22" i="16"/>
  <c r="U21" i="16"/>
  <c r="H21" i="16"/>
  <c r="G21" i="16"/>
  <c r="F21" i="16"/>
  <c r="E21" i="16"/>
  <c r="D21" i="16"/>
  <c r="U20" i="16"/>
  <c r="G20" i="16"/>
  <c r="H20" i="16" s="1"/>
  <c r="F20" i="16"/>
  <c r="E20" i="16"/>
  <c r="D20" i="16"/>
  <c r="U19" i="16"/>
  <c r="H19" i="16"/>
  <c r="G19" i="16"/>
  <c r="F19" i="16"/>
  <c r="E19" i="16"/>
  <c r="D19" i="16"/>
  <c r="U18" i="16"/>
  <c r="G18" i="16"/>
  <c r="H18" i="16" s="1"/>
  <c r="F18" i="16"/>
  <c r="E18" i="16"/>
  <c r="D18" i="16"/>
  <c r="U17" i="16"/>
  <c r="H17" i="16"/>
  <c r="G17" i="16"/>
  <c r="F17" i="16"/>
  <c r="E17" i="16"/>
  <c r="D17" i="16"/>
  <c r="G16" i="16"/>
  <c r="H16" i="16" s="1"/>
  <c r="F16" i="16"/>
  <c r="E16" i="16"/>
  <c r="D16" i="16"/>
  <c r="G15" i="16"/>
  <c r="H15" i="16" s="1"/>
  <c r="F15" i="16"/>
  <c r="E15" i="16"/>
  <c r="D15" i="16"/>
  <c r="H14" i="16"/>
  <c r="G14" i="16"/>
  <c r="F14" i="16"/>
  <c r="E14" i="16"/>
  <c r="D14" i="16"/>
  <c r="G13" i="16"/>
  <c r="H13" i="16" s="1"/>
  <c r="F13" i="16"/>
  <c r="E13" i="16"/>
  <c r="D13" i="16"/>
  <c r="U12" i="16"/>
  <c r="T12" i="16"/>
  <c r="T13" i="16" s="1"/>
  <c r="U13" i="16" s="1"/>
  <c r="G12" i="16"/>
  <c r="H12" i="16" s="1"/>
  <c r="F12" i="16"/>
  <c r="E12" i="16"/>
  <c r="D12" i="16"/>
  <c r="U11" i="16"/>
  <c r="H11" i="16"/>
  <c r="G11" i="16"/>
  <c r="F11" i="16"/>
  <c r="E11" i="16"/>
  <c r="D11" i="16"/>
  <c r="U10" i="16"/>
  <c r="G10" i="16"/>
  <c r="H10" i="16" s="1"/>
  <c r="F10" i="16"/>
  <c r="E10" i="16"/>
  <c r="D10" i="16"/>
  <c r="U9" i="16"/>
  <c r="H9" i="16"/>
  <c r="G9" i="16"/>
  <c r="F9" i="16"/>
  <c r="E9" i="16"/>
  <c r="D9" i="16"/>
  <c r="U8" i="16"/>
  <c r="G8" i="16"/>
  <c r="H8" i="16" s="1"/>
  <c r="F8" i="16"/>
  <c r="E8" i="16"/>
  <c r="D8" i="16"/>
  <c r="U7" i="16"/>
  <c r="H7" i="16"/>
  <c r="G7" i="16"/>
  <c r="F7" i="16"/>
  <c r="E7" i="16"/>
  <c r="D7" i="16"/>
  <c r="P6" i="16"/>
  <c r="P8" i="16" s="1"/>
  <c r="G6" i="16"/>
  <c r="H6" i="16" s="1"/>
  <c r="F6" i="16"/>
  <c r="E6" i="16"/>
  <c r="D6" i="16"/>
  <c r="H5" i="16"/>
  <c r="G5" i="16"/>
  <c r="F5" i="16"/>
  <c r="E5" i="16"/>
  <c r="D5" i="16"/>
  <c r="H4" i="16"/>
  <c r="G4" i="16"/>
  <c r="F4" i="16"/>
  <c r="E4" i="16"/>
  <c r="D4" i="16"/>
  <c r="M1" i="16"/>
  <c r="C107" i="16" s="1"/>
  <c r="G9" i="14"/>
  <c r="C85" i="15"/>
  <c r="F83" i="15"/>
  <c r="F82" i="15"/>
  <c r="F79" i="15"/>
  <c r="F78" i="15"/>
  <c r="F75" i="15"/>
  <c r="F74" i="15"/>
  <c r="F71" i="15"/>
  <c r="F70" i="15"/>
  <c r="F67" i="15"/>
  <c r="F66" i="15"/>
  <c r="F63" i="15"/>
  <c r="F62" i="15"/>
  <c r="F59" i="15"/>
  <c r="Q87" i="15"/>
  <c r="R87" i="15" s="1"/>
  <c r="P87" i="15"/>
  <c r="O87" i="15"/>
  <c r="C87" i="15"/>
  <c r="F87" i="15" s="1"/>
  <c r="G87" i="15" s="1"/>
  <c r="H87" i="15" s="1"/>
  <c r="I87" i="15" s="1"/>
  <c r="Q86" i="15"/>
  <c r="R86" i="15" s="1"/>
  <c r="P86" i="15"/>
  <c r="O86" i="15"/>
  <c r="S86" i="15" s="1"/>
  <c r="C86" i="15"/>
  <c r="F86" i="15" s="1"/>
  <c r="G86" i="15" s="1"/>
  <c r="H86" i="15" s="1"/>
  <c r="I86" i="15" s="1"/>
  <c r="Q85" i="15"/>
  <c r="R85" i="15" s="1"/>
  <c r="P85" i="15"/>
  <c r="O85" i="15"/>
  <c r="G84" i="15"/>
  <c r="H84" i="15" s="1"/>
  <c r="I84" i="15" s="1"/>
  <c r="F84" i="15"/>
  <c r="G83" i="15"/>
  <c r="H83" i="15" s="1"/>
  <c r="I83" i="15" s="1"/>
  <c r="G82" i="15"/>
  <c r="H82" i="15" s="1"/>
  <c r="I82" i="15" s="1"/>
  <c r="G80" i="15"/>
  <c r="H80" i="15" s="1"/>
  <c r="I80" i="15" s="1"/>
  <c r="F80" i="15"/>
  <c r="G79" i="15"/>
  <c r="H79" i="15" s="1"/>
  <c r="I79" i="15" s="1"/>
  <c r="G78" i="15"/>
  <c r="H78" i="15" s="1"/>
  <c r="I78" i="15" s="1"/>
  <c r="G76" i="15"/>
  <c r="H76" i="15" s="1"/>
  <c r="I76" i="15" s="1"/>
  <c r="F76" i="15"/>
  <c r="G75" i="15"/>
  <c r="H75" i="15" s="1"/>
  <c r="I75" i="15" s="1"/>
  <c r="G74" i="15"/>
  <c r="H74" i="15" s="1"/>
  <c r="I74" i="15" s="1"/>
  <c r="G72" i="15"/>
  <c r="H72" i="15" s="1"/>
  <c r="I72" i="15" s="1"/>
  <c r="F72" i="15"/>
  <c r="G71" i="15"/>
  <c r="H71" i="15" s="1"/>
  <c r="I71" i="15" s="1"/>
  <c r="G70" i="15"/>
  <c r="H70" i="15" s="1"/>
  <c r="I70" i="15" s="1"/>
  <c r="G68" i="15"/>
  <c r="H68" i="15" s="1"/>
  <c r="I68" i="15" s="1"/>
  <c r="F68" i="15"/>
  <c r="G67" i="15"/>
  <c r="H67" i="15" s="1"/>
  <c r="I67" i="15" s="1"/>
  <c r="G66" i="15"/>
  <c r="H66" i="15" s="1"/>
  <c r="I66" i="15" s="1"/>
  <c r="G64" i="15"/>
  <c r="H64" i="15" s="1"/>
  <c r="I64" i="15" s="1"/>
  <c r="F64" i="15"/>
  <c r="G63" i="15"/>
  <c r="H63" i="15" s="1"/>
  <c r="I63" i="15" s="1"/>
  <c r="G62" i="15"/>
  <c r="H62" i="15" s="1"/>
  <c r="I62" i="15" s="1"/>
  <c r="G60" i="15"/>
  <c r="H60" i="15" s="1"/>
  <c r="I60" i="15" s="1"/>
  <c r="F60" i="15"/>
  <c r="G59" i="15"/>
  <c r="H59" i="15" s="1"/>
  <c r="I59" i="15" s="1"/>
  <c r="G58" i="15"/>
  <c r="H58" i="15" s="1"/>
  <c r="I58" i="15" s="1"/>
  <c r="G28" i="15"/>
  <c r="H28" i="15" s="1"/>
  <c r="F28" i="15"/>
  <c r="G27" i="15"/>
  <c r="H27" i="15" s="1"/>
  <c r="F27" i="15"/>
  <c r="G26" i="15"/>
  <c r="H26" i="15" s="1"/>
  <c r="F26" i="15"/>
  <c r="G25" i="15"/>
  <c r="H25" i="15" s="1"/>
  <c r="F25" i="15"/>
  <c r="G24" i="15"/>
  <c r="H24" i="15" s="1"/>
  <c r="F24" i="15"/>
  <c r="G23" i="15"/>
  <c r="H23" i="15" s="1"/>
  <c r="F23" i="15"/>
  <c r="U22" i="15"/>
  <c r="T22" i="15"/>
  <c r="T23" i="15" s="1"/>
  <c r="U23" i="15" s="1"/>
  <c r="G22" i="15"/>
  <c r="H22" i="15" s="1"/>
  <c r="F22" i="15"/>
  <c r="U21" i="15"/>
  <c r="G21" i="15"/>
  <c r="H21" i="15" s="1"/>
  <c r="F21" i="15"/>
  <c r="U20" i="15"/>
  <c r="G20" i="15"/>
  <c r="H20" i="15" s="1"/>
  <c r="F20" i="15"/>
  <c r="U19" i="15"/>
  <c r="G19" i="15"/>
  <c r="H19" i="15" s="1"/>
  <c r="F19" i="15"/>
  <c r="U18" i="15"/>
  <c r="G18" i="15"/>
  <c r="H18" i="15" s="1"/>
  <c r="F18" i="15"/>
  <c r="U17" i="15"/>
  <c r="G17" i="15"/>
  <c r="H17" i="15" s="1"/>
  <c r="F17" i="15"/>
  <c r="G16" i="15"/>
  <c r="H16" i="15" s="1"/>
  <c r="F16" i="15"/>
  <c r="G15" i="15"/>
  <c r="H15" i="15" s="1"/>
  <c r="F15" i="15"/>
  <c r="G14" i="15"/>
  <c r="H14" i="15" s="1"/>
  <c r="F14" i="15"/>
  <c r="G13" i="15"/>
  <c r="H13" i="15" s="1"/>
  <c r="F13" i="15"/>
  <c r="T12" i="15"/>
  <c r="U12" i="15" s="1"/>
  <c r="G12" i="15"/>
  <c r="H12" i="15" s="1"/>
  <c r="F12" i="15"/>
  <c r="U11" i="15"/>
  <c r="G11" i="15"/>
  <c r="H11" i="15" s="1"/>
  <c r="F11" i="15"/>
  <c r="U10" i="15"/>
  <c r="G10" i="15"/>
  <c r="H10" i="15" s="1"/>
  <c r="F10" i="15"/>
  <c r="U9" i="15"/>
  <c r="G9" i="15"/>
  <c r="H9" i="15" s="1"/>
  <c r="F9" i="15"/>
  <c r="U8" i="15"/>
  <c r="G8" i="15"/>
  <c r="H8" i="15" s="1"/>
  <c r="F8" i="15"/>
  <c r="U7" i="15"/>
  <c r="G7" i="15"/>
  <c r="H7" i="15" s="1"/>
  <c r="F7" i="15"/>
  <c r="P6" i="15"/>
  <c r="P8" i="15" s="1"/>
  <c r="G6" i="15"/>
  <c r="H6" i="15" s="1"/>
  <c r="F6" i="15"/>
  <c r="G5" i="15"/>
  <c r="H5" i="15" s="1"/>
  <c r="F5" i="15"/>
  <c r="G4" i="15"/>
  <c r="H4" i="15" s="1"/>
  <c r="F4" i="15"/>
  <c r="M1" i="15"/>
  <c r="U19" i="14"/>
  <c r="U20" i="14"/>
  <c r="U21" i="14"/>
  <c r="U22" i="14"/>
  <c r="U23" i="14"/>
  <c r="T23" i="14"/>
  <c r="U18" i="14"/>
  <c r="T24" i="14"/>
  <c r="U24" i="14" s="1"/>
  <c r="T14" i="14"/>
  <c r="U14" i="14"/>
  <c r="U9" i="14"/>
  <c r="U10" i="14"/>
  <c r="U11" i="14"/>
  <c r="U12" i="14"/>
  <c r="U13" i="14"/>
  <c r="U8" i="14"/>
  <c r="T13" i="14"/>
  <c r="P9" i="14"/>
  <c r="P7" i="14"/>
  <c r="E95" i="17" l="1"/>
  <c r="D95" i="17"/>
  <c r="F95" i="17"/>
  <c r="G95" i="17" s="1"/>
  <c r="H95" i="17" s="1"/>
  <c r="I95" i="17" s="1"/>
  <c r="E103" i="17"/>
  <c r="D103" i="17"/>
  <c r="F103" i="17"/>
  <c r="G103" i="17" s="1"/>
  <c r="H103" i="17" s="1"/>
  <c r="I103" i="17" s="1"/>
  <c r="D98" i="17"/>
  <c r="F98" i="17"/>
  <c r="G98" i="17" s="1"/>
  <c r="H98" i="17" s="1"/>
  <c r="I98" i="17" s="1"/>
  <c r="E98" i="17"/>
  <c r="F94" i="17"/>
  <c r="G94" i="17" s="1"/>
  <c r="H94" i="17" s="1"/>
  <c r="I94" i="17" s="1"/>
  <c r="D94" i="17"/>
  <c r="E94" i="17"/>
  <c r="D106" i="17"/>
  <c r="F106" i="17"/>
  <c r="G106" i="17" s="1"/>
  <c r="H106" i="17" s="1"/>
  <c r="I106" i="17" s="1"/>
  <c r="E106" i="17"/>
  <c r="F102" i="17"/>
  <c r="G102" i="17" s="1"/>
  <c r="H102" i="17" s="1"/>
  <c r="I102" i="17" s="1"/>
  <c r="D102" i="17"/>
  <c r="E102" i="17"/>
  <c r="E99" i="17"/>
  <c r="D99" i="17"/>
  <c r="F99" i="17"/>
  <c r="G99" i="17" s="1"/>
  <c r="H99" i="17" s="1"/>
  <c r="I99" i="17" s="1"/>
  <c r="F93" i="17"/>
  <c r="G93" i="17" s="1"/>
  <c r="H93" i="17" s="1"/>
  <c r="I93" i="17" s="1"/>
  <c r="E93" i="17"/>
  <c r="D93" i="17"/>
  <c r="F92" i="17"/>
  <c r="G92" i="17" s="1"/>
  <c r="H92" i="17" s="1"/>
  <c r="I92" i="17" s="1"/>
  <c r="D92" i="17"/>
  <c r="E92" i="17"/>
  <c r="F89" i="17"/>
  <c r="G89" i="17" s="1"/>
  <c r="H89" i="17" s="1"/>
  <c r="I89" i="17" s="1"/>
  <c r="E89" i="17"/>
  <c r="D89" i="17"/>
  <c r="E109" i="17"/>
  <c r="F109" i="17"/>
  <c r="G109" i="17" s="1"/>
  <c r="H109" i="17" s="1"/>
  <c r="I109" i="17" s="1"/>
  <c r="D109" i="17"/>
  <c r="F97" i="17"/>
  <c r="G97" i="17" s="1"/>
  <c r="H97" i="17" s="1"/>
  <c r="I97" i="17" s="1"/>
  <c r="E97" i="17"/>
  <c r="D97" i="17"/>
  <c r="D90" i="17"/>
  <c r="F90" i="17"/>
  <c r="G90" i="17" s="1"/>
  <c r="H90" i="17" s="1"/>
  <c r="I90" i="17" s="1"/>
  <c r="E90" i="17"/>
  <c r="E107" i="17"/>
  <c r="D107" i="17"/>
  <c r="F107" i="17"/>
  <c r="G107" i="17" s="1"/>
  <c r="H107" i="17" s="1"/>
  <c r="I107" i="17" s="1"/>
  <c r="F108" i="17"/>
  <c r="G108" i="17" s="1"/>
  <c r="H108" i="17" s="1"/>
  <c r="I108" i="17" s="1"/>
  <c r="E108" i="17"/>
  <c r="D108" i="17"/>
  <c r="E101" i="17"/>
  <c r="F101" i="17"/>
  <c r="G101" i="17" s="1"/>
  <c r="H101" i="17" s="1"/>
  <c r="I101" i="17" s="1"/>
  <c r="D101" i="17"/>
  <c r="F88" i="17"/>
  <c r="G88" i="17" s="1"/>
  <c r="H88" i="17" s="1"/>
  <c r="I88" i="17" s="1"/>
  <c r="E88" i="17"/>
  <c r="D88" i="17"/>
  <c r="E91" i="17"/>
  <c r="D91" i="17"/>
  <c r="F91" i="17"/>
  <c r="G91" i="17" s="1"/>
  <c r="H91" i="17" s="1"/>
  <c r="I91" i="17" s="1"/>
  <c r="F105" i="17"/>
  <c r="G105" i="17" s="1"/>
  <c r="H105" i="17" s="1"/>
  <c r="I105" i="17" s="1"/>
  <c r="E105" i="17"/>
  <c r="D105" i="17"/>
  <c r="F107" i="16"/>
  <c r="G107" i="16" s="1"/>
  <c r="H107" i="16" s="1"/>
  <c r="I107" i="16" s="1"/>
  <c r="E107" i="16"/>
  <c r="D107" i="16"/>
  <c r="C89" i="16"/>
  <c r="D90" i="16"/>
  <c r="C93" i="16"/>
  <c r="D94" i="16"/>
  <c r="C97" i="16"/>
  <c r="D98" i="16"/>
  <c r="C101" i="16"/>
  <c r="D102" i="16"/>
  <c r="C105" i="16"/>
  <c r="D106" i="16"/>
  <c r="C109" i="16"/>
  <c r="C85" i="16"/>
  <c r="C88" i="16"/>
  <c r="E90" i="16"/>
  <c r="C92" i="16"/>
  <c r="E94" i="16"/>
  <c r="C96" i="16"/>
  <c r="E98" i="16"/>
  <c r="C100" i="16"/>
  <c r="E102" i="16"/>
  <c r="C104" i="16"/>
  <c r="E106" i="16"/>
  <c r="C108" i="16"/>
  <c r="C91" i="16"/>
  <c r="C95" i="16"/>
  <c r="C99" i="16"/>
  <c r="C103" i="16"/>
  <c r="D87" i="15"/>
  <c r="D86" i="15"/>
  <c r="F61" i="15"/>
  <c r="F65" i="15"/>
  <c r="F69" i="15"/>
  <c r="F73" i="15"/>
  <c r="F77" i="15"/>
  <c r="F81" i="15"/>
  <c r="G61" i="15"/>
  <c r="H61" i="15" s="1"/>
  <c r="I61" i="15" s="1"/>
  <c r="G65" i="15"/>
  <c r="H65" i="15" s="1"/>
  <c r="I65" i="15" s="1"/>
  <c r="G69" i="15"/>
  <c r="H69" i="15" s="1"/>
  <c r="I69" i="15" s="1"/>
  <c r="G73" i="15"/>
  <c r="H73" i="15" s="1"/>
  <c r="I73" i="15" s="1"/>
  <c r="G77" i="15"/>
  <c r="H77" i="15" s="1"/>
  <c r="I77" i="15" s="1"/>
  <c r="G81" i="15"/>
  <c r="H81" i="15" s="1"/>
  <c r="I81" i="15" s="1"/>
  <c r="C108" i="15"/>
  <c r="C104" i="15"/>
  <c r="C100" i="15"/>
  <c r="C96" i="15"/>
  <c r="C92" i="15"/>
  <c r="C88" i="15"/>
  <c r="C109" i="15"/>
  <c r="C105" i="15"/>
  <c r="C101" i="15"/>
  <c r="C97" i="15"/>
  <c r="C93" i="15"/>
  <c r="C89" i="15"/>
  <c r="C107" i="15"/>
  <c r="C103" i="15"/>
  <c r="C99" i="15"/>
  <c r="C106" i="15"/>
  <c r="C102" i="15"/>
  <c r="C98" i="15"/>
  <c r="C94" i="15"/>
  <c r="C90" i="15"/>
  <c r="C95" i="15"/>
  <c r="T13" i="15"/>
  <c r="U13" i="15" s="1"/>
  <c r="S85" i="15"/>
  <c r="S87" i="15"/>
  <c r="C91" i="15"/>
  <c r="E86" i="15"/>
  <c r="E87" i="15"/>
  <c r="D104" i="16" l="1"/>
  <c r="E104" i="16"/>
  <c r="F104" i="16"/>
  <c r="G104" i="16" s="1"/>
  <c r="H104" i="16" s="1"/>
  <c r="I104" i="16" s="1"/>
  <c r="E105" i="16"/>
  <c r="F105" i="16"/>
  <c r="G105" i="16" s="1"/>
  <c r="H105" i="16" s="1"/>
  <c r="I105" i="16" s="1"/>
  <c r="D105" i="16"/>
  <c r="D91" i="16"/>
  <c r="F91" i="16"/>
  <c r="G91" i="16" s="1"/>
  <c r="H91" i="16" s="1"/>
  <c r="I91" i="16" s="1"/>
  <c r="E91" i="16"/>
  <c r="D85" i="16"/>
  <c r="E85" i="16"/>
  <c r="F85" i="16"/>
  <c r="G85" i="16" s="1"/>
  <c r="H85" i="16" s="1"/>
  <c r="I85" i="16" s="1"/>
  <c r="D88" i="16"/>
  <c r="E88" i="16"/>
  <c r="F88" i="16"/>
  <c r="G88" i="16" s="1"/>
  <c r="H88" i="16" s="1"/>
  <c r="I88" i="16" s="1"/>
  <c r="E97" i="16"/>
  <c r="D97" i="16"/>
  <c r="F97" i="16"/>
  <c r="G97" i="16" s="1"/>
  <c r="H97" i="16" s="1"/>
  <c r="I97" i="16" s="1"/>
  <c r="F103" i="16"/>
  <c r="G103" i="16" s="1"/>
  <c r="H103" i="16" s="1"/>
  <c r="I103" i="16" s="1"/>
  <c r="E103" i="16"/>
  <c r="D103" i="16"/>
  <c r="D108" i="16"/>
  <c r="E108" i="16"/>
  <c r="F108" i="16"/>
  <c r="G108" i="16" s="1"/>
  <c r="H108" i="16" s="1"/>
  <c r="I108" i="16" s="1"/>
  <c r="D100" i="16"/>
  <c r="F100" i="16"/>
  <c r="G100" i="16" s="1"/>
  <c r="H100" i="16" s="1"/>
  <c r="I100" i="16" s="1"/>
  <c r="E100" i="16"/>
  <c r="D92" i="16"/>
  <c r="E92" i="16"/>
  <c r="F92" i="16"/>
  <c r="G92" i="16" s="1"/>
  <c r="H92" i="16" s="1"/>
  <c r="I92" i="16" s="1"/>
  <c r="E109" i="16"/>
  <c r="D109" i="16"/>
  <c r="F109" i="16"/>
  <c r="G109" i="16" s="1"/>
  <c r="H109" i="16" s="1"/>
  <c r="I109" i="16" s="1"/>
  <c r="E101" i="16"/>
  <c r="D101" i="16"/>
  <c r="F101" i="16"/>
  <c r="G101" i="16" s="1"/>
  <c r="H101" i="16" s="1"/>
  <c r="I101" i="16" s="1"/>
  <c r="E93" i="16"/>
  <c r="D93" i="16"/>
  <c r="F93" i="16"/>
  <c r="G93" i="16" s="1"/>
  <c r="H93" i="16" s="1"/>
  <c r="I93" i="16" s="1"/>
  <c r="F95" i="16"/>
  <c r="G95" i="16" s="1"/>
  <c r="H95" i="16" s="1"/>
  <c r="I95" i="16" s="1"/>
  <c r="D95" i="16"/>
  <c r="E95" i="16"/>
  <c r="D96" i="16"/>
  <c r="E96" i="16"/>
  <c r="F96" i="16"/>
  <c r="G96" i="16" s="1"/>
  <c r="H96" i="16" s="1"/>
  <c r="I96" i="16" s="1"/>
  <c r="E89" i="16"/>
  <c r="F89" i="16"/>
  <c r="G89" i="16" s="1"/>
  <c r="H89" i="16" s="1"/>
  <c r="I89" i="16" s="1"/>
  <c r="D89" i="16"/>
  <c r="F99" i="16"/>
  <c r="G99" i="16" s="1"/>
  <c r="H99" i="16" s="1"/>
  <c r="I99" i="16" s="1"/>
  <c r="E99" i="16"/>
  <c r="D99" i="16"/>
  <c r="F91" i="15"/>
  <c r="G91" i="15" s="1"/>
  <c r="H91" i="15" s="1"/>
  <c r="I91" i="15" s="1"/>
  <c r="E91" i="15"/>
  <c r="D91" i="15"/>
  <c r="F95" i="15"/>
  <c r="G95" i="15" s="1"/>
  <c r="H95" i="15" s="1"/>
  <c r="I95" i="15" s="1"/>
  <c r="E95" i="15"/>
  <c r="D95" i="15"/>
  <c r="E102" i="15"/>
  <c r="D102" i="15"/>
  <c r="F102" i="15"/>
  <c r="G102" i="15" s="1"/>
  <c r="H102" i="15" s="1"/>
  <c r="I102" i="15" s="1"/>
  <c r="D101" i="15"/>
  <c r="F101" i="15"/>
  <c r="G101" i="15" s="1"/>
  <c r="H101" i="15" s="1"/>
  <c r="I101" i="15" s="1"/>
  <c r="E101" i="15"/>
  <c r="F88" i="15"/>
  <c r="G88" i="15" s="1"/>
  <c r="H88" i="15" s="1"/>
  <c r="I88" i="15" s="1"/>
  <c r="E88" i="15"/>
  <c r="D88" i="15"/>
  <c r="F104" i="15"/>
  <c r="G104" i="15" s="1"/>
  <c r="H104" i="15" s="1"/>
  <c r="I104" i="15" s="1"/>
  <c r="E104" i="15"/>
  <c r="D104" i="15"/>
  <c r="E90" i="15"/>
  <c r="D90" i="15"/>
  <c r="F90" i="15"/>
  <c r="G90" i="15" s="1"/>
  <c r="H90" i="15" s="1"/>
  <c r="I90" i="15" s="1"/>
  <c r="E106" i="15"/>
  <c r="D106" i="15"/>
  <c r="F106" i="15"/>
  <c r="G106" i="15" s="1"/>
  <c r="H106" i="15" s="1"/>
  <c r="I106" i="15" s="1"/>
  <c r="D89" i="15"/>
  <c r="F89" i="15"/>
  <c r="G89" i="15" s="1"/>
  <c r="H89" i="15" s="1"/>
  <c r="I89" i="15" s="1"/>
  <c r="E89" i="15"/>
  <c r="D105" i="15"/>
  <c r="F105" i="15"/>
  <c r="G105" i="15" s="1"/>
  <c r="H105" i="15" s="1"/>
  <c r="I105" i="15" s="1"/>
  <c r="E105" i="15"/>
  <c r="F92" i="15"/>
  <c r="G92" i="15" s="1"/>
  <c r="H92" i="15" s="1"/>
  <c r="I92" i="15" s="1"/>
  <c r="E92" i="15"/>
  <c r="D92" i="15"/>
  <c r="F108" i="15"/>
  <c r="G108" i="15" s="1"/>
  <c r="H108" i="15" s="1"/>
  <c r="I108" i="15" s="1"/>
  <c r="D108" i="15"/>
  <c r="E108" i="15"/>
  <c r="E94" i="15"/>
  <c r="D94" i="15"/>
  <c r="F94" i="15"/>
  <c r="G94" i="15" s="1"/>
  <c r="H94" i="15" s="1"/>
  <c r="I94" i="15" s="1"/>
  <c r="F99" i="15"/>
  <c r="G99" i="15" s="1"/>
  <c r="H99" i="15" s="1"/>
  <c r="I99" i="15" s="1"/>
  <c r="E99" i="15"/>
  <c r="D99" i="15"/>
  <c r="D93" i="15"/>
  <c r="F93" i="15"/>
  <c r="G93" i="15" s="1"/>
  <c r="H93" i="15" s="1"/>
  <c r="I93" i="15" s="1"/>
  <c r="E93" i="15"/>
  <c r="D109" i="15"/>
  <c r="F109" i="15"/>
  <c r="G109" i="15" s="1"/>
  <c r="H109" i="15" s="1"/>
  <c r="I109" i="15" s="1"/>
  <c r="E109" i="15"/>
  <c r="F96" i="15"/>
  <c r="G96" i="15" s="1"/>
  <c r="H96" i="15" s="1"/>
  <c r="I96" i="15" s="1"/>
  <c r="E96" i="15"/>
  <c r="D96" i="15"/>
  <c r="E98" i="15"/>
  <c r="D98" i="15"/>
  <c r="F98" i="15"/>
  <c r="G98" i="15" s="1"/>
  <c r="H98" i="15" s="1"/>
  <c r="I98" i="15" s="1"/>
  <c r="F103" i="15"/>
  <c r="G103" i="15" s="1"/>
  <c r="H103" i="15" s="1"/>
  <c r="I103" i="15" s="1"/>
  <c r="E103" i="15"/>
  <c r="D103" i="15"/>
  <c r="D97" i="15"/>
  <c r="F97" i="15"/>
  <c r="G97" i="15" s="1"/>
  <c r="H97" i="15" s="1"/>
  <c r="I97" i="15" s="1"/>
  <c r="E97" i="15"/>
  <c r="F85" i="15"/>
  <c r="G85" i="15" s="1"/>
  <c r="H85" i="15" s="1"/>
  <c r="I85" i="15" s="1"/>
  <c r="E85" i="15"/>
  <c r="D85" i="15"/>
  <c r="F100" i="15"/>
  <c r="G100" i="15" s="1"/>
  <c r="H100" i="15" s="1"/>
  <c r="I100" i="15" s="1"/>
  <c r="E100" i="15"/>
  <c r="D100" i="15"/>
  <c r="F107" i="15"/>
  <c r="G107" i="15" s="1"/>
  <c r="H107" i="15" s="1"/>
  <c r="I107" i="15" s="1"/>
  <c r="E107" i="15"/>
  <c r="D107" i="15"/>
  <c r="G5" i="14" l="1"/>
  <c r="H5" i="14" s="1"/>
  <c r="F5" i="14"/>
  <c r="H68" i="4" l="1"/>
  <c r="H64" i="4"/>
  <c r="H60" i="4"/>
  <c r="H55" i="4"/>
  <c r="H51" i="4"/>
  <c r="H47" i="4"/>
  <c r="H43" i="4"/>
  <c r="F26" i="5" l="1"/>
  <c r="E26" i="5"/>
  <c r="D26" i="5"/>
  <c r="C26" i="5"/>
  <c r="D19" i="5"/>
  <c r="D20" i="5" s="1"/>
  <c r="E19" i="5"/>
  <c r="E20" i="5" s="1"/>
  <c r="F19" i="5"/>
  <c r="F20" i="5" s="1"/>
  <c r="C19" i="5"/>
  <c r="C20" i="5" s="1"/>
  <c r="G59" i="14"/>
  <c r="H59" i="14" s="1"/>
  <c r="I59" i="14" s="1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59" i="14"/>
  <c r="F10" i="5"/>
  <c r="E10" i="5"/>
  <c r="F87" i="14"/>
  <c r="F88" i="14"/>
  <c r="O86" i="14"/>
  <c r="P86" i="14"/>
  <c r="Q86" i="14"/>
  <c r="R86" i="14" s="1"/>
  <c r="E87" i="14"/>
  <c r="D87" i="14"/>
  <c r="D88" i="14"/>
  <c r="G60" i="14"/>
  <c r="H60" i="14" s="1"/>
  <c r="I60" i="14" s="1"/>
  <c r="G61" i="14"/>
  <c r="H61" i="14" s="1"/>
  <c r="I61" i="14" s="1"/>
  <c r="G62" i="14"/>
  <c r="H62" i="14" s="1"/>
  <c r="G63" i="14"/>
  <c r="H63" i="14" s="1"/>
  <c r="G64" i="14"/>
  <c r="H64" i="14" s="1"/>
  <c r="I64" i="14" s="1"/>
  <c r="G65" i="14"/>
  <c r="H65" i="14" s="1"/>
  <c r="I65" i="14" s="1"/>
  <c r="G66" i="14"/>
  <c r="H66" i="14" s="1"/>
  <c r="G67" i="14"/>
  <c r="H67" i="14" s="1"/>
  <c r="G68" i="14"/>
  <c r="H68" i="14" s="1"/>
  <c r="I68" i="14" s="1"/>
  <c r="G69" i="14"/>
  <c r="H69" i="14" s="1"/>
  <c r="I69" i="14" s="1"/>
  <c r="G70" i="14"/>
  <c r="H70" i="14" s="1"/>
  <c r="G71" i="14"/>
  <c r="H71" i="14" s="1"/>
  <c r="G72" i="14"/>
  <c r="H72" i="14" s="1"/>
  <c r="I72" i="14" s="1"/>
  <c r="G73" i="14"/>
  <c r="H73" i="14" s="1"/>
  <c r="I73" i="14" s="1"/>
  <c r="G74" i="14"/>
  <c r="H74" i="14" s="1"/>
  <c r="G75" i="14"/>
  <c r="H75" i="14" s="1"/>
  <c r="G76" i="14"/>
  <c r="H76" i="14" s="1"/>
  <c r="I76" i="14" s="1"/>
  <c r="G77" i="14"/>
  <c r="H77" i="14" s="1"/>
  <c r="I77" i="14" s="1"/>
  <c r="G78" i="14"/>
  <c r="H78" i="14" s="1"/>
  <c r="G79" i="14"/>
  <c r="H79" i="14" s="1"/>
  <c r="G80" i="14"/>
  <c r="H80" i="14" s="1"/>
  <c r="I80" i="14" s="1"/>
  <c r="G81" i="14"/>
  <c r="H81" i="14" s="1"/>
  <c r="I81" i="14" s="1"/>
  <c r="G82" i="14"/>
  <c r="H82" i="14" s="1"/>
  <c r="G83" i="14"/>
  <c r="H83" i="14" s="1"/>
  <c r="G84" i="14"/>
  <c r="H84" i="14" s="1"/>
  <c r="I84" i="14" s="1"/>
  <c r="G85" i="14"/>
  <c r="H85" i="14" s="1"/>
  <c r="I85" i="14" s="1"/>
  <c r="M2" i="14"/>
  <c r="C99" i="14" l="1"/>
  <c r="C89" i="14"/>
  <c r="D89" i="14" s="1"/>
  <c r="C86" i="14"/>
  <c r="D86" i="14" s="1"/>
  <c r="S86" i="14"/>
  <c r="I83" i="14"/>
  <c r="I79" i="14"/>
  <c r="I75" i="14"/>
  <c r="I71" i="14"/>
  <c r="I67" i="14"/>
  <c r="I63" i="14"/>
  <c r="D99" i="14"/>
  <c r="E99" i="14"/>
  <c r="G25" i="14"/>
  <c r="H25" i="14" s="1"/>
  <c r="F25" i="14"/>
  <c r="C92" i="14"/>
  <c r="F92" i="14" s="1"/>
  <c r="G92" i="14" s="1"/>
  <c r="C95" i="14"/>
  <c r="E95" i="14" s="1"/>
  <c r="C103" i="14"/>
  <c r="E103" i="14" s="1"/>
  <c r="E89" i="14"/>
  <c r="C90" i="14"/>
  <c r="C98" i="14"/>
  <c r="E98" i="14" s="1"/>
  <c r="C106" i="14"/>
  <c r="C110" i="14"/>
  <c r="C94" i="14"/>
  <c r="C107" i="14"/>
  <c r="E107" i="14" s="1"/>
  <c r="C91" i="14"/>
  <c r="F91" i="14" s="1"/>
  <c r="G91" i="14" s="1"/>
  <c r="F99" i="14"/>
  <c r="G99" i="14" s="1"/>
  <c r="C102" i="14"/>
  <c r="I82" i="14"/>
  <c r="I78" i="14"/>
  <c r="I74" i="14"/>
  <c r="I70" i="14"/>
  <c r="I66" i="14"/>
  <c r="I62" i="14"/>
  <c r="C109" i="14"/>
  <c r="E109" i="14" s="1"/>
  <c r="C105" i="14"/>
  <c r="C101" i="14"/>
  <c r="D101" i="14" s="1"/>
  <c r="C97" i="14"/>
  <c r="D97" i="14" s="1"/>
  <c r="C93" i="14"/>
  <c r="C108" i="14"/>
  <c r="E108" i="14" s="1"/>
  <c r="C104" i="14"/>
  <c r="E104" i="14" s="1"/>
  <c r="C100" i="14"/>
  <c r="F100" i="14" s="1"/>
  <c r="C96" i="14"/>
  <c r="F96" i="14" s="1"/>
  <c r="G87" i="14"/>
  <c r="E88" i="14"/>
  <c r="G88" i="14" s="1"/>
  <c r="E86" i="14" l="1"/>
  <c r="E92" i="14"/>
  <c r="H88" i="14"/>
  <c r="I88" i="14" s="1"/>
  <c r="H87" i="14"/>
  <c r="I87" i="14" s="1"/>
  <c r="D91" i="14"/>
  <c r="E91" i="14"/>
  <c r="F9" i="14"/>
  <c r="D92" i="14"/>
  <c r="F15" i="14"/>
  <c r="G15" i="14"/>
  <c r="H15" i="14" s="1"/>
  <c r="D108" i="14"/>
  <c r="F108" i="14"/>
  <c r="G108" i="14" s="1"/>
  <c r="F19" i="14"/>
  <c r="G19" i="14"/>
  <c r="H19" i="14" s="1"/>
  <c r="D105" i="14"/>
  <c r="F105" i="14"/>
  <c r="F12" i="14"/>
  <c r="G12" i="14"/>
  <c r="H12" i="14" s="1"/>
  <c r="F28" i="14"/>
  <c r="G28" i="14"/>
  <c r="H28" i="14" s="1"/>
  <c r="H92" i="14"/>
  <c r="I92" i="14" s="1"/>
  <c r="F26" i="14"/>
  <c r="G26" i="14"/>
  <c r="H26" i="14" s="1"/>
  <c r="G17" i="14"/>
  <c r="H17" i="14" s="1"/>
  <c r="F17" i="14"/>
  <c r="D106" i="14"/>
  <c r="E106" i="14"/>
  <c r="F106" i="14"/>
  <c r="G106" i="14" s="1"/>
  <c r="H106" i="14" s="1"/>
  <c r="I106" i="14" s="1"/>
  <c r="G21" i="14"/>
  <c r="H21" i="14" s="1"/>
  <c r="F21" i="14"/>
  <c r="D95" i="14"/>
  <c r="F95" i="14"/>
  <c r="G95" i="14" s="1"/>
  <c r="F7" i="14"/>
  <c r="G7" i="14"/>
  <c r="H7" i="14" s="1"/>
  <c r="F23" i="14"/>
  <c r="G23" i="14"/>
  <c r="H23" i="14" s="1"/>
  <c r="E93" i="14"/>
  <c r="F93" i="14"/>
  <c r="D109" i="14"/>
  <c r="F109" i="14"/>
  <c r="G109" i="14" s="1"/>
  <c r="F16" i="14"/>
  <c r="G16" i="14"/>
  <c r="H16" i="14" s="1"/>
  <c r="D94" i="14"/>
  <c r="E94" i="14"/>
  <c r="F94" i="14"/>
  <c r="G22" i="14"/>
  <c r="H22" i="14" s="1"/>
  <c r="F22" i="14"/>
  <c r="D98" i="14"/>
  <c r="F98" i="14"/>
  <c r="G98" i="14" s="1"/>
  <c r="G13" i="14"/>
  <c r="H13" i="14" s="1"/>
  <c r="F13" i="14"/>
  <c r="F27" i="14"/>
  <c r="G27" i="14"/>
  <c r="H27" i="14" s="1"/>
  <c r="E97" i="14"/>
  <c r="F97" i="14"/>
  <c r="G97" i="14" s="1"/>
  <c r="F20" i="14"/>
  <c r="G20" i="14"/>
  <c r="H20" i="14" s="1"/>
  <c r="E102" i="14"/>
  <c r="F102" i="14"/>
  <c r="G102" i="14" s="1"/>
  <c r="D102" i="14"/>
  <c r="D107" i="14"/>
  <c r="F107" i="14"/>
  <c r="G107" i="14" s="1"/>
  <c r="G14" i="14"/>
  <c r="H14" i="14" s="1"/>
  <c r="F14" i="14"/>
  <c r="F90" i="14"/>
  <c r="G90" i="14" s="1"/>
  <c r="D90" i="14"/>
  <c r="E90" i="14"/>
  <c r="D104" i="14"/>
  <c r="F104" i="14"/>
  <c r="G104" i="14" s="1"/>
  <c r="E101" i="14"/>
  <c r="F101" i="14"/>
  <c r="G101" i="14" s="1"/>
  <c r="F8" i="14"/>
  <c r="D10" i="5" s="1"/>
  <c r="G8" i="14"/>
  <c r="H8" i="14" s="1"/>
  <c r="F24" i="14"/>
  <c r="G24" i="14"/>
  <c r="H24" i="14" s="1"/>
  <c r="H91" i="14"/>
  <c r="I91" i="14" s="1"/>
  <c r="F10" i="14"/>
  <c r="G10" i="14"/>
  <c r="H10" i="14" s="1"/>
  <c r="F86" i="14"/>
  <c r="G86" i="14" s="1"/>
  <c r="H86" i="14" s="1"/>
  <c r="F18" i="14"/>
  <c r="G18" i="14"/>
  <c r="H18" i="14" s="1"/>
  <c r="G6" i="14"/>
  <c r="H6" i="14" s="1"/>
  <c r="F6" i="14"/>
  <c r="G29" i="14"/>
  <c r="H29" i="14" s="1"/>
  <c r="F29" i="14"/>
  <c r="D103" i="14"/>
  <c r="F103" i="14"/>
  <c r="G103" i="14" s="1"/>
  <c r="F11" i="14"/>
  <c r="G11" i="14"/>
  <c r="H11" i="14" s="1"/>
  <c r="H99" i="14"/>
  <c r="I99" i="14" s="1"/>
  <c r="E110" i="14"/>
  <c r="F110" i="14"/>
  <c r="G110" i="14" s="1"/>
  <c r="D110" i="14"/>
  <c r="F89" i="14"/>
  <c r="G89" i="14" s="1"/>
  <c r="G96" i="14"/>
  <c r="E96" i="14"/>
  <c r="D96" i="14"/>
  <c r="D100" i="14"/>
  <c r="G100" i="14" s="1"/>
  <c r="E100" i="14"/>
  <c r="D93" i="14"/>
  <c r="E105" i="14"/>
  <c r="H9" i="14" l="1"/>
  <c r="C10" i="5"/>
  <c r="C11" i="5" s="1"/>
  <c r="G93" i="14"/>
  <c r="G94" i="14"/>
  <c r="H94" i="14" s="1"/>
  <c r="I94" i="14" s="1"/>
  <c r="H97" i="14"/>
  <c r="I97" i="14" s="1"/>
  <c r="H95" i="14"/>
  <c r="I95" i="14" s="1"/>
  <c r="H103" i="14"/>
  <c r="I103" i="14" s="1"/>
  <c r="H109" i="14"/>
  <c r="I109" i="14" s="1"/>
  <c r="H108" i="14"/>
  <c r="I108" i="14" s="1"/>
  <c r="H104" i="14"/>
  <c r="I104" i="14" s="1"/>
  <c r="H93" i="14"/>
  <c r="I93" i="14" s="1"/>
  <c r="H96" i="14"/>
  <c r="I96" i="14" s="1"/>
  <c r="H110" i="14"/>
  <c r="I110" i="14" s="1"/>
  <c r="I86" i="14"/>
  <c r="H102" i="14"/>
  <c r="I102" i="14" s="1"/>
  <c r="H90" i="14"/>
  <c r="I90" i="14" s="1"/>
  <c r="H107" i="14"/>
  <c r="I107" i="14" s="1"/>
  <c r="H100" i="14"/>
  <c r="I100" i="14" s="1"/>
  <c r="H89" i="14"/>
  <c r="I89" i="14" s="1"/>
  <c r="G105" i="14"/>
  <c r="H98" i="14"/>
  <c r="I98" i="14" s="1"/>
  <c r="H101" i="14"/>
  <c r="I101" i="14" s="1"/>
  <c r="H105" i="14" l="1"/>
  <c r="I105" i="14" s="1"/>
  <c r="Q88" i="14" l="1"/>
  <c r="R88" i="14" s="1"/>
  <c r="P88" i="14"/>
  <c r="O88" i="14"/>
  <c r="Q87" i="14"/>
  <c r="R87" i="14" s="1"/>
  <c r="P87" i="14"/>
  <c r="O87" i="14"/>
  <c r="S88" i="14" l="1"/>
  <c r="S87" i="14"/>
  <c r="H91" i="7"/>
  <c r="I91" i="7" s="1"/>
  <c r="G91" i="7"/>
  <c r="F91" i="7"/>
  <c r="J91" i="7" l="1"/>
  <c r="H92" i="7"/>
  <c r="I92" i="7" s="1"/>
  <c r="G92" i="7"/>
  <c r="F92" i="7"/>
  <c r="J92" i="7" s="1"/>
  <c r="K85" i="7" l="1"/>
  <c r="L85" i="7"/>
  <c r="K86" i="7"/>
  <c r="L86" i="7"/>
  <c r="M29" i="13"/>
  <c r="M26" i="13"/>
  <c r="L27" i="13"/>
  <c r="L28" i="13" s="1"/>
  <c r="H86" i="7" l="1"/>
  <c r="F86" i="7"/>
  <c r="F85" i="7"/>
  <c r="M27" i="13"/>
  <c r="M28" i="13" s="1"/>
  <c r="C22" i="5"/>
  <c r="K37" i="6"/>
  <c r="H41" i="6"/>
  <c r="Q15" i="6"/>
  <c r="G86" i="7" l="1"/>
  <c r="I86" i="7" s="1"/>
  <c r="J86" i="7" s="1"/>
  <c r="H85" i="7"/>
  <c r="G85" i="7"/>
  <c r="I85" i="7" s="1"/>
  <c r="J85" i="7" s="1"/>
  <c r="D11" i="5"/>
  <c r="E11" i="5"/>
  <c r="F11" i="5"/>
  <c r="D42" i="4" l="1"/>
  <c r="D67" i="4"/>
  <c r="D36" i="4"/>
  <c r="D46" i="4" l="1"/>
  <c r="D59" i="4"/>
  <c r="D28" i="4"/>
  <c r="D50" i="4"/>
  <c r="D63" i="4"/>
  <c r="D32" i="4"/>
  <c r="D54" i="4"/>
  <c r="D37" i="4" l="1"/>
  <c r="D33" i="4"/>
  <c r="D29" i="4"/>
  <c r="F17" i="4"/>
  <c r="H10" i="4"/>
  <c r="H11" i="4" s="1"/>
  <c r="H15" i="4" s="1"/>
  <c r="J60" i="8"/>
  <c r="L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L2" i="8"/>
  <c r="K2" i="8"/>
  <c r="J2" i="8"/>
  <c r="E16" i="6"/>
  <c r="F18" i="13" s="1"/>
  <c r="F22" i="13"/>
  <c r="T10" i="6"/>
  <c r="F23" i="13" s="1"/>
  <c r="N8" i="6"/>
  <c r="F21" i="13" s="1"/>
  <c r="F28" i="5"/>
  <c r="E28" i="5"/>
  <c r="D28" i="5"/>
  <c r="C28" i="5"/>
  <c r="F22" i="5"/>
  <c r="E22" i="5"/>
  <c r="G28" i="5" l="1"/>
  <c r="F14" i="13" s="1"/>
  <c r="F19" i="13"/>
  <c r="E13" i="5"/>
  <c r="D22" i="5"/>
  <c r="F13" i="5"/>
  <c r="D13" i="5"/>
  <c r="H28" i="4"/>
  <c r="H29" i="4" s="1"/>
  <c r="H17" i="4"/>
  <c r="H19" i="4" s="1"/>
  <c r="H20" i="4"/>
  <c r="G22" i="5" l="1"/>
  <c r="H22" i="4"/>
  <c r="G15" i="4" s="1"/>
  <c r="H36" i="4"/>
  <c r="H37" i="4" s="1"/>
  <c r="H32" i="4"/>
  <c r="H33" i="4" s="1"/>
  <c r="G30" i="5" l="1"/>
  <c r="F13" i="13"/>
  <c r="G17" i="4"/>
  <c r="G19" i="4" s="1"/>
  <c r="G20" i="4"/>
  <c r="G22" i="4" l="1"/>
  <c r="F20" i="13"/>
  <c r="F26" i="13" s="1"/>
  <c r="C13" i="5" l="1"/>
  <c r="G13" i="5" s="1"/>
  <c r="G32" i="5" l="1"/>
  <c r="F12" i="13"/>
  <c r="F15" i="13" s="1"/>
  <c r="F27" i="13" l="1"/>
  <c r="E30" i="13" l="1"/>
  <c r="F31" i="13" s="1"/>
  <c r="M31" i="13" l="1"/>
  <c r="M32" i="13" s="1"/>
  <c r="F32" i="13"/>
  <c r="F33" i="13" s="1"/>
  <c r="F34" i="13"/>
  <c r="F35" i="13" l="1"/>
  <c r="M30" i="13" l="1"/>
</calcChain>
</file>

<file path=xl/comments1.xml><?xml version="1.0" encoding="utf-8"?>
<comments xmlns="http://schemas.openxmlformats.org/spreadsheetml/2006/main">
  <authors>
    <author>Pigott, Beverley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Pigott, Beverley:</t>
        </r>
        <r>
          <rPr>
            <sz val="9"/>
            <color indexed="81"/>
            <rFont val="Tahoma"/>
            <family val="2"/>
          </rPr>
          <t xml:space="preserve">
Total Levies = 48% of surplus?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Pigott, Beverley:</t>
        </r>
        <r>
          <rPr>
            <sz val="9"/>
            <color indexed="81"/>
            <rFont val="Tahoma"/>
            <family val="2"/>
          </rPr>
          <t xml:space="preserve">
Comments from Clare Jonker:
It all looks relatively manageable until I get up to the distribution of levies and margins bit, when it becomes more complex.  Made more so, I think, because I’m not sure that what you have is consistent with the policy which says that 50% goes to staff member, 25% to Faculty/Division/Centre and 25% to Uni Account nominated by the Vice-Chancellor.</t>
        </r>
      </text>
    </comment>
  </commentList>
</comments>
</file>

<file path=xl/sharedStrings.xml><?xml version="1.0" encoding="utf-8"?>
<sst xmlns="http://schemas.openxmlformats.org/spreadsheetml/2006/main" count="1584" uniqueCount="490">
  <si>
    <t>Application</t>
  </si>
  <si>
    <t>OPA Policy Clause (69) Distribution of Income</t>
  </si>
  <si>
    <t>Contacts</t>
  </si>
  <si>
    <t xml:space="preserve">   The amounts to be distributed will automatically calculate.</t>
  </si>
  <si>
    <t>OPA Reconciliation</t>
  </si>
  <si>
    <t xml:space="preserve">   If the OPA exceeds $100,000, it must be conducted in accordance with the University Statutory Guidelines for 
   Commercial Activities.</t>
  </si>
  <si>
    <t>$100,000 Threshold</t>
  </si>
  <si>
    <t xml:space="preserve">   This represents the funds that are distributed to the Faculty/School and employee as per the OPA Policy.</t>
  </si>
  <si>
    <t xml:space="preserve">   Minimum 15%.</t>
  </si>
  <si>
    <t xml:space="preserve">   Cost advantages arise from a range of sources, such as the University's tax-free status, shared infrastructure 
   and resources such as payroll, finance and IT, which typically underwrite the direct costs of projects.</t>
  </si>
  <si>
    <t>Levy/Other OPA Add-Ons</t>
  </si>
  <si>
    <t>Non-Salary Expenditure:</t>
  </si>
  <si>
    <t xml:space="preserve">   Salary estimate includes on-costs.</t>
  </si>
  <si>
    <t xml:space="preserve">   2.Enter the anticpated number of hours for each staff member.</t>
  </si>
  <si>
    <t xml:space="preserve">   1.Select Employment Type &amp; Level/Step from drop-down box for each staff member involved in this OPA.</t>
  </si>
  <si>
    <t xml:space="preserve">   On the Staff Costs worksheet:</t>
  </si>
  <si>
    <t>Staff Costs:</t>
  </si>
  <si>
    <t>Notes/Assumptions:</t>
  </si>
  <si>
    <t>GST</t>
  </si>
  <si>
    <t>Subtotal excluding GST</t>
  </si>
  <si>
    <t>Total Distribution</t>
  </si>
  <si>
    <r>
      <t xml:space="preserve">Employee Share - Professional Development/ Research Support  </t>
    </r>
    <r>
      <rPr>
        <sz val="9"/>
        <rFont val="Calibri"/>
        <family val="2"/>
        <scheme val="minor"/>
      </rPr>
      <t>(Transfer funds to A109 or A5401)</t>
    </r>
  </si>
  <si>
    <t>Competitive Neutrality/ Infrastructure Levy</t>
  </si>
  <si>
    <t>Total Faculty/School Split</t>
  </si>
  <si>
    <t>School Administration/ Support (A102)</t>
  </si>
  <si>
    <t>Faculty Administration/ Support (A102)</t>
  </si>
  <si>
    <t>Total Direct Expenditure</t>
  </si>
  <si>
    <r>
      <t xml:space="preserve">Competitive Neutrality - Central Administration
</t>
    </r>
    <r>
      <rPr>
        <sz val="8"/>
        <rFont val="Calibri"/>
        <family val="2"/>
        <scheme val="minor"/>
      </rPr>
      <t>(Represents the VC portion as mentioned in the OPA Policy)</t>
    </r>
  </si>
  <si>
    <t>Total Non-Salary Expenditure</t>
  </si>
  <si>
    <t>Contingency</t>
  </si>
  <si>
    <t>Miscellaneous</t>
  </si>
  <si>
    <t>Travel</t>
  </si>
  <si>
    <t>Assets</t>
  </si>
  <si>
    <t>Stores &amp; Provisions</t>
  </si>
  <si>
    <t>Fees for Service</t>
  </si>
  <si>
    <t>Communication</t>
  </si>
  <si>
    <t>Total Salaries &amp; On-Costs</t>
  </si>
  <si>
    <t>General Total Cost</t>
  </si>
  <si>
    <t>Academic Total Cost</t>
  </si>
  <si>
    <t>Salary &amp; On-Costs:</t>
  </si>
  <si>
    <t>Staff Name:</t>
  </si>
  <si>
    <t xml:space="preserve">   OPA Budget </t>
  </si>
  <si>
    <t>Credit</t>
  </si>
  <si>
    <t>Debit</t>
  </si>
  <si>
    <t>Employee Share:</t>
  </si>
  <si>
    <t>School Share:</t>
  </si>
  <si>
    <t>Faculty Share:</t>
  </si>
  <si>
    <t>Funds Transfer:</t>
  </si>
  <si>
    <t xml:space="preserve">Faculty/School Split </t>
  </si>
  <si>
    <t>Total Expenditure</t>
  </si>
  <si>
    <t>Actual Expenditure:</t>
  </si>
  <si>
    <t>Income Received:</t>
  </si>
  <si>
    <t xml:space="preserve">    OPA Reconciliation</t>
  </si>
  <si>
    <t>Total Salary Cost</t>
  </si>
  <si>
    <t>Total General Salaries</t>
  </si>
  <si>
    <t>Sub-Total Cost</t>
  </si>
  <si>
    <t>No. of Hours</t>
  </si>
  <si>
    <t>Hourly Rate</t>
  </si>
  <si>
    <t>Level/Step</t>
  </si>
  <si>
    <t>Casual</t>
  </si>
  <si>
    <t>Full-time</t>
  </si>
  <si>
    <t>Contract &gt; 1yr</t>
  </si>
  <si>
    <t>Employment Type</t>
  </si>
  <si>
    <t>Total</t>
  </si>
  <si>
    <t>[Name]</t>
  </si>
  <si>
    <t>General Staff</t>
  </si>
  <si>
    <t>Total Cost Academic</t>
  </si>
  <si>
    <t>Academic Staff</t>
  </si>
  <si>
    <t>Third Party Share of Income</t>
  </si>
  <si>
    <t>─ NaLSH/ Lab/ Space Usage</t>
  </si>
  <si>
    <t>─ Catering</t>
  </si>
  <si>
    <t>─ SPAN</t>
  </si>
  <si>
    <t>Pharmaceuticals/Therapeutics</t>
  </si>
  <si>
    <t>─ Uni Print</t>
  </si>
  <si>
    <t>Printing &amp; Binding Off Campus</t>
  </si>
  <si>
    <t>University Fees for Service</t>
  </si>
  <si>
    <t>Seed</t>
  </si>
  <si>
    <t>IT Systems Licence Fees</t>
  </si>
  <si>
    <t>Service Contracts for Equipment</t>
  </si>
  <si>
    <t>Design Consultants</t>
  </si>
  <si>
    <t>Reference Publications/Resources</t>
  </si>
  <si>
    <t>Late Payment Interest/Penalty</t>
  </si>
  <si>
    <t>Livestock Health</t>
  </si>
  <si>
    <t>Catering - Meetings/Conferences</t>
  </si>
  <si>
    <t>Chemicals</t>
  </si>
  <si>
    <t>Other Services Rendered</t>
  </si>
  <si>
    <t>Meals/Entertainment</t>
  </si>
  <si>
    <t>UNILINC Services</t>
  </si>
  <si>
    <t>Radioactive Material</t>
  </si>
  <si>
    <t>Staff Removal Expenses</t>
  </si>
  <si>
    <t>Stationery &amp; Office Supplies</t>
  </si>
  <si>
    <t>Registration/Transfer/Licence Fees</t>
  </si>
  <si>
    <t>Minor Equipment (&lt;$10,000)</t>
  </si>
  <si>
    <t>Photography</t>
  </si>
  <si>
    <t>Minor Computer Software (&lt;$10,000)</t>
  </si>
  <si>
    <t>Membership Fees</t>
  </si>
  <si>
    <t>Livestock</t>
  </si>
  <si>
    <t>Medical Examinations</t>
  </si>
  <si>
    <t>Furniture &amp; Fittings (&lt;$10,000)</t>
  </si>
  <si>
    <t>Levies</t>
  </si>
  <si>
    <t>Protective Clothing/Uniforms</t>
  </si>
  <si>
    <t>Legal and Debt Collection Fees</t>
  </si>
  <si>
    <t>Printing &amp; Binding On Campus</t>
  </si>
  <si>
    <t>Inter Library Loans</t>
  </si>
  <si>
    <t>Photocopying</t>
  </si>
  <si>
    <t>Information Searches</t>
  </si>
  <si>
    <t>Packaging Materials</t>
  </si>
  <si>
    <t>Hire &amp; Lease Expenses</t>
  </si>
  <si>
    <t>Other Consumables</t>
  </si>
  <si>
    <t>Graphic Design</t>
  </si>
  <si>
    <t>Maintenance of Assets &amp; Minor Equip</t>
  </si>
  <si>
    <t>Copyright/Royalties</t>
  </si>
  <si>
    <t>Livestock Feed</t>
  </si>
  <si>
    <t>Contracts</t>
  </si>
  <si>
    <t>Laundry</t>
  </si>
  <si>
    <t>Consultants</t>
  </si>
  <si>
    <t>Phone/Data/Video Rental</t>
  </si>
  <si>
    <t>Dependant Care Allowance</t>
  </si>
  <si>
    <t>Gifts</t>
  </si>
  <si>
    <t>Conference/Seminar Fees</t>
  </si>
  <si>
    <t>Phone/Data/Video Calls</t>
  </si>
  <si>
    <t>Meal Allowance (Australia)</t>
  </si>
  <si>
    <t>Freight Expense on Purchases</t>
  </si>
  <si>
    <t>Bank Charges</t>
  </si>
  <si>
    <t>Telephone/Data Equipmt Installation</t>
  </si>
  <si>
    <t>Overseas Travel Allowance</t>
  </si>
  <si>
    <t>Fertilizer</t>
  </si>
  <si>
    <t>Auditors Fees</t>
  </si>
  <si>
    <t>Video Services &amp; Equipment Rental</t>
  </si>
  <si>
    <t>Staff Recruitment Travel</t>
  </si>
  <si>
    <t>Crockery, Cutlery &amp; Linen</t>
  </si>
  <si>
    <t>Advertising Promotional Material</t>
  </si>
  <si>
    <t>Telephone Services &amp; Equip Rental</t>
  </si>
  <si>
    <t>University Vehicle</t>
  </si>
  <si>
    <t>Cleaning Materials</t>
  </si>
  <si>
    <t>Other Advertising</t>
  </si>
  <si>
    <t>Telephone Calls/Fax Charges</t>
  </si>
  <si>
    <t>Sponsorship/Donation</t>
  </si>
  <si>
    <t>Private Vehicle Use</t>
  </si>
  <si>
    <t>Disposed Asset Expense</t>
  </si>
  <si>
    <t>Staff Appointment Advertising</t>
  </si>
  <si>
    <t>Data Transmission</t>
  </si>
  <si>
    <t>Student Honoraria</t>
  </si>
  <si>
    <t>Vehicle Hire</t>
  </si>
  <si>
    <t>Laboratory Animals</t>
  </si>
  <si>
    <t>Course Advertising</t>
  </si>
  <si>
    <t>Data Services &amp; Equipment Rental</t>
  </si>
  <si>
    <t>Scholarships/Prizes</t>
  </si>
  <si>
    <t>Overseas Travel</t>
  </si>
  <si>
    <t>Plant &amp; Equipment (&gt; $10,000)</t>
  </si>
  <si>
    <t>Portable &amp; Attract Items (&lt;$10,000)</t>
  </si>
  <si>
    <t>Corporate Advertising</t>
  </si>
  <si>
    <t>Postage</t>
  </si>
  <si>
    <t>Subsidies</t>
  </si>
  <si>
    <t>General Travel &amp; Accommodation</t>
  </si>
  <si>
    <t>Computer Software (&gt; $10,000)</t>
  </si>
  <si>
    <t>Hospitality</t>
  </si>
  <si>
    <t>Fees for Services Rendered</t>
  </si>
  <si>
    <t>Courier</t>
  </si>
  <si>
    <t>Communications</t>
  </si>
  <si>
    <t>1Hrs | 1Wks</t>
  </si>
  <si>
    <t>Cas Hourly</t>
  </si>
  <si>
    <t>1Hrs ONLY</t>
  </si>
  <si>
    <t>F/T Hourly</t>
  </si>
  <si>
    <t>100.00%</t>
  </si>
  <si>
    <t>Casual Hrly Rate</t>
  </si>
  <si>
    <t>F/Time Hrly Rate</t>
  </si>
  <si>
    <t>Total Cost (incl Leave Payout)</t>
  </si>
  <si>
    <t>Total Cost</t>
  </si>
  <si>
    <t>Super</t>
  </si>
  <si>
    <t>Total OnCosts (Excl. Super)</t>
  </si>
  <si>
    <t>Fraction or Hrs|Wks</t>
  </si>
  <si>
    <t>General</t>
  </si>
  <si>
    <t>E.1</t>
  </si>
  <si>
    <t>D.4</t>
  </si>
  <si>
    <t>D.3</t>
  </si>
  <si>
    <t>D.2</t>
  </si>
  <si>
    <t>D.1</t>
  </si>
  <si>
    <t>C.6</t>
  </si>
  <si>
    <t>C.5</t>
  </si>
  <si>
    <t>C.4</t>
  </si>
  <si>
    <t>C.3</t>
  </si>
  <si>
    <t>C.2</t>
  </si>
  <si>
    <t>C.1</t>
  </si>
  <si>
    <t>B.6</t>
  </si>
  <si>
    <t>B.5</t>
  </si>
  <si>
    <t>B.4</t>
  </si>
  <si>
    <t>B.3</t>
  </si>
  <si>
    <t>B.2</t>
  </si>
  <si>
    <t>B.1</t>
  </si>
  <si>
    <t>A.8</t>
  </si>
  <si>
    <t>A.7</t>
  </si>
  <si>
    <t>A.6</t>
  </si>
  <si>
    <t>A.5</t>
  </si>
  <si>
    <t>A.4</t>
  </si>
  <si>
    <t>A.3</t>
  </si>
  <si>
    <t>A.2</t>
  </si>
  <si>
    <t>A.1</t>
  </si>
  <si>
    <t>FT Hourly</t>
  </si>
  <si>
    <t>Finish Date</t>
  </si>
  <si>
    <t>Start Date</t>
  </si>
  <si>
    <t xml:space="preserve">Position Level </t>
  </si>
  <si>
    <t>Position Title</t>
  </si>
  <si>
    <t>Academic</t>
  </si>
  <si>
    <t>Cas Gen - [Level 10 - Step 3] - Super (9.500%)</t>
  </si>
  <si>
    <t>Level 10 - Step 3 - (CAS)</t>
  </si>
  <si>
    <t>Cas Gen - [Level 10 - Step 2] - Super (9.500%)</t>
  </si>
  <si>
    <t>Level 10 - Step 2 - (CAS)</t>
  </si>
  <si>
    <t>Cas Gen - [Level 10 - Step 1] - Super (9.500%)</t>
  </si>
  <si>
    <t>Level 10 - Step 1 - (CAS)</t>
  </si>
  <si>
    <t>Cas Gen - [Level 9 - Step 3] - Super (9.500%)</t>
  </si>
  <si>
    <t>Level 9 - Step 3 - (CAS)</t>
  </si>
  <si>
    <t>Cas Gen - [Level 9 - Step 2] - Super (9.500%)</t>
  </si>
  <si>
    <t>Level 9 - Step 2 - (CAS)</t>
  </si>
  <si>
    <t>Cas Gen - [Level 9 - Step 1] - Super (9.500%)</t>
  </si>
  <si>
    <t>Level 9 - Step 1 - (CAS)</t>
  </si>
  <si>
    <t>Cas Gen - [Level 8 - Step 5] - Super (9.500%)</t>
  </si>
  <si>
    <t>Level 8 - Step 5 - (CAS)</t>
  </si>
  <si>
    <t>Cas Gen - [Level 8 - Step 4] - Super (9.500%)</t>
  </si>
  <si>
    <t>Level 8 - Step 4 - (CAS)</t>
  </si>
  <si>
    <t>Cas Gen - [Level 8 - Step 3] - Super (9.500%)</t>
  </si>
  <si>
    <t>Level 8 - Step 3 - (CAS)</t>
  </si>
  <si>
    <t>Cas Gen - [Level 8 - Step 2] - Super (9.500%)</t>
  </si>
  <si>
    <t>Level 8 - Step 2 - (CAS)</t>
  </si>
  <si>
    <t>Cas Gen - [Level 8 - Step 1] - Super (9.500%)</t>
  </si>
  <si>
    <t>Level 8 - Step 1 - (CAS)</t>
  </si>
  <si>
    <t>Cas Gen - [Level 7 - Step 4] - Super (9.500%)</t>
  </si>
  <si>
    <t>Level 7 - Step 4 - (CAS)</t>
  </si>
  <si>
    <t>Cas Gen - [Level 7 - Step 3] - Super (9.500%)</t>
  </si>
  <si>
    <t>Level 7 - Step 3 - (CAS)</t>
  </si>
  <si>
    <t>Cas Gen - [Level 7 - Step 2] - Super (9.500%)</t>
  </si>
  <si>
    <t>Level 7 - Step 2 - (CAS)</t>
  </si>
  <si>
    <t>Cas Gen - [Level 7 - Step 1] - Super (9.500%)</t>
  </si>
  <si>
    <t>Level 7 - Step 1 - (CAS)</t>
  </si>
  <si>
    <t>Cas Gen - [Level 6 - Step 4] - Super (9.500%)</t>
  </si>
  <si>
    <t>Level 6 - Step 4 - (CAS)</t>
  </si>
  <si>
    <t>Cas Gen - [Level 6 - Step 3] - Super (9.500%)</t>
  </si>
  <si>
    <t>Level 6 - Step 3 - (CAS)</t>
  </si>
  <si>
    <t>Cas Gen - [Level 6 - Step 2] - Super (9.500%)</t>
  </si>
  <si>
    <t>Level 6 - Step 2 - (CAS)</t>
  </si>
  <si>
    <t>Cas Gen - [Level 6 - Step 1] - Super (9.500%)</t>
  </si>
  <si>
    <t>Level 6 - Step 1 - (CAS)</t>
  </si>
  <si>
    <t>Level 5 - Step 4 - (CAS)</t>
  </si>
  <si>
    <t>Level 5 - Step 3 - (CAS)</t>
  </si>
  <si>
    <t>Level 5 - Step 2 - (CAS)</t>
  </si>
  <si>
    <t>Level 5 - Step 1 - (CAS)</t>
  </si>
  <si>
    <t>Level 4 - Step 4 - (CAS)</t>
  </si>
  <si>
    <t>Level 4 - Step 3 - (CAS)</t>
  </si>
  <si>
    <t>Level 4 - Step 2 - (CAS)</t>
  </si>
  <si>
    <t>Level 4 - Step 1 - (CAS)</t>
  </si>
  <si>
    <t>Level 10 - Step 3</t>
  </si>
  <si>
    <t>Level 10 - Step 2</t>
  </si>
  <si>
    <t>Level 10 - Step 1</t>
  </si>
  <si>
    <t>Level 9 - Step 3</t>
  </si>
  <si>
    <t>Level 9 - Step 2</t>
  </si>
  <si>
    <t>Level 9 - Step 1</t>
  </si>
  <si>
    <t>Level 8 - Step 5</t>
  </si>
  <si>
    <t>Level 8 - Step 4</t>
  </si>
  <si>
    <t>Level 8 - Step 3</t>
  </si>
  <si>
    <t>Level 8 - Step 2</t>
  </si>
  <si>
    <t>Level 8 - Step 1</t>
  </si>
  <si>
    <t>Level 7 - Step 4</t>
  </si>
  <si>
    <t>Level 7 - Step 3</t>
  </si>
  <si>
    <t>Level 7 - Step 2</t>
  </si>
  <si>
    <t>Level 7 - Step 1</t>
  </si>
  <si>
    <t>Level 6 - Step 4</t>
  </si>
  <si>
    <t>Level 6 - Step 3</t>
  </si>
  <si>
    <t>Level 6 - Step 2</t>
  </si>
  <si>
    <t>Level 6 - Step 1</t>
  </si>
  <si>
    <t>Level 5 - Step 4</t>
  </si>
  <si>
    <t>Level 5 - Step 3</t>
  </si>
  <si>
    <t>Level 5 - Step 2</t>
  </si>
  <si>
    <t>Level 5 - Step 1</t>
  </si>
  <si>
    <t>Level 4 - Step 4</t>
  </si>
  <si>
    <t>Level 4 - Step 3</t>
  </si>
  <si>
    <t>Level 4 - Step 2</t>
  </si>
  <si>
    <t>Level 4 - Step 1</t>
  </si>
  <si>
    <t>Level D - Step 4</t>
  </si>
  <si>
    <t>Level E - Step 1</t>
  </si>
  <si>
    <t>Level D - Step 3</t>
  </si>
  <si>
    <t>Level D - Step 2</t>
  </si>
  <si>
    <t>Level D - Step 1</t>
  </si>
  <si>
    <t>Level C - Step 6</t>
  </si>
  <si>
    <t>Level C - Step 5</t>
  </si>
  <si>
    <t>Level C - Step 4</t>
  </si>
  <si>
    <t>Level C - Step 3</t>
  </si>
  <si>
    <t>Level C - Step 2</t>
  </si>
  <si>
    <t>Level C - Step 1</t>
  </si>
  <si>
    <t>Level B - Step 6</t>
  </si>
  <si>
    <t>Level B - Step 5</t>
  </si>
  <si>
    <t>Level B - Step 4</t>
  </si>
  <si>
    <t>Level B - Step 3</t>
  </si>
  <si>
    <t>Level B - Step 2</t>
  </si>
  <si>
    <t>Level B - Step 1</t>
  </si>
  <si>
    <t>Level A - Step 8</t>
  </si>
  <si>
    <t>Level A - Step 7</t>
  </si>
  <si>
    <t>Level A - Step 6</t>
  </si>
  <si>
    <t>Level A - Step 5</t>
  </si>
  <si>
    <t>Level A - Step 4</t>
  </si>
  <si>
    <t>Level A - Step 3</t>
  </si>
  <si>
    <t>Level A - Step 2</t>
  </si>
  <si>
    <t>Level A - Step 1</t>
  </si>
  <si>
    <t>Contract Acad - [Level B - Step 4] - Super(17%) - with Leave payout</t>
  </si>
  <si>
    <t>Contract Acad - [Level B - Step 3] - Super(17%) - with Leave payout</t>
  </si>
  <si>
    <t>Contract Acad - [Level B - Step 2] - Super(17%) - with Leave payout</t>
  </si>
  <si>
    <t>Contract Acad - [Level B - Step 1] - Super(17%) - with Leave payout</t>
  </si>
  <si>
    <t>Contract Acad - [Level A - Step 8] - Super(17%) - with Leave payout</t>
  </si>
  <si>
    <t>Contract Acad - [Level A - Step 7] - Super(17%) - with Leave payout</t>
  </si>
  <si>
    <t>Contract Acad - [Level A - Step 6] - Super(17%) - with Leave payout</t>
  </si>
  <si>
    <t>Contract Acad - [Level A - Step 5] - Super(17%) - with Leave payout</t>
  </si>
  <si>
    <t>Contract Acad - [Level A - Step 4] - Super(17%) - with Leave payout</t>
  </si>
  <si>
    <t>Contract Acad - [Level A - Step 2] - Super(17%) - with Leave payout</t>
  </si>
  <si>
    <t>Contract Acad - [Level A - Step 1] - Super(17%) - with Leave payout</t>
  </si>
  <si>
    <t>Comments</t>
  </si>
  <si>
    <t>include leave payout</t>
  </si>
  <si>
    <t>Emp Type - Gen</t>
  </si>
  <si>
    <t>Gen</t>
  </si>
  <si>
    <t xml:space="preserve">Aca </t>
  </si>
  <si>
    <t>Emp Type</t>
  </si>
  <si>
    <t>OPA %</t>
  </si>
  <si>
    <t>+</t>
  </si>
  <si>
    <t>-</t>
  </si>
  <si>
    <t>Please nominate Account:</t>
  </si>
  <si>
    <t>School Share</t>
  </si>
  <si>
    <t xml:space="preserve">Faculty Share
</t>
  </si>
  <si>
    <t xml:space="preserve">Employee Share - Professional Development </t>
  </si>
  <si>
    <t>Total OPA Service Fee/Price Including GST</t>
  </si>
  <si>
    <t>Distribution of Levies &amp; Margins - Budget Summary</t>
  </si>
  <si>
    <t>Navigate to</t>
  </si>
  <si>
    <t>Other Relevant Documentation:</t>
  </si>
  <si>
    <t>The OPA Budget Template should be submitted in conjunction with the OPA application form &amp; other supporting documentation. Staff should be familiar with the CSU Policy for 'Outside Professional Activities' &amp; 'Policy on Delegations &amp; Authorisations' prior to making an application for funding.</t>
  </si>
  <si>
    <t>For Research Activity:</t>
  </si>
  <si>
    <r>
      <t xml:space="preserve">This Template is to be used for </t>
    </r>
    <r>
      <rPr>
        <b/>
        <sz val="11"/>
        <color theme="1"/>
        <rFont val="Calibri"/>
        <family val="2"/>
        <scheme val="minor"/>
      </rPr>
      <t xml:space="preserve">non-research </t>
    </r>
    <r>
      <rPr>
        <sz val="11"/>
        <color theme="1"/>
        <rFont val="Calibri"/>
        <family val="2"/>
        <scheme val="minor"/>
      </rPr>
      <t xml:space="preserve">OPA budgets. </t>
    </r>
  </si>
  <si>
    <t>Outside Professional Activities - Finance Component</t>
  </si>
  <si>
    <t>Finance User Guide: For the Development of an OPA Budget</t>
  </si>
  <si>
    <t>OPA Budget Details:</t>
  </si>
  <si>
    <t xml:space="preserve">     Navigate to</t>
  </si>
  <si>
    <t xml:space="preserve">   All cells that are available for data to be entered, or that require data to be entered are marked a 
   light yellow colour.</t>
  </si>
  <si>
    <t>[Role]</t>
  </si>
  <si>
    <t xml:space="preserve">   On completion of the OPA, when all final income and expenditure has been allocated to the activity,
   input income and expenditure amounts to calculate the final result. (Surplus or Deficit)</t>
  </si>
  <si>
    <t>OPA Result: Surplus / (Deficit)</t>
  </si>
  <si>
    <t>External Parties:</t>
  </si>
  <si>
    <t>Other Details:</t>
  </si>
  <si>
    <t>Levies &amp; Surplus</t>
  </si>
  <si>
    <t>Subtotal Levy &amp; Surplus</t>
  </si>
  <si>
    <t>Subtotal Intended Surplus for Distribution</t>
  </si>
  <si>
    <t>% of Total Surplus</t>
  </si>
  <si>
    <t>Fac/Sch% Share</t>
  </si>
  <si>
    <t xml:space="preserve">   Budgeted Surplus for Internal Distribution:</t>
  </si>
  <si>
    <r>
      <t xml:space="preserve">             </t>
    </r>
    <r>
      <rPr>
        <sz val="11"/>
        <color rgb="FFFF0000"/>
        <rFont val="Calibri"/>
        <family val="2"/>
        <scheme val="minor"/>
      </rPr>
      <t>#</t>
    </r>
    <r>
      <rPr>
        <sz val="11"/>
        <rFont val="Calibri"/>
        <family val="2"/>
        <scheme val="minor"/>
      </rPr>
      <t xml:space="preserve"> Researchers have the option of transferring their distribution into Fund 
                 A5401 for future research activities.</t>
    </r>
  </si>
  <si>
    <t>FLOW CHART FOR THE DISTRIBUTION OF OPA SURPLUS &amp; LEVIES</t>
  </si>
  <si>
    <t>Surplus and Levy Distribution</t>
  </si>
  <si>
    <t xml:space="preserve">   Staff should consult with their HoS regarding use of funds and appropriate timeframes. </t>
  </si>
  <si>
    <t xml:space="preserve"> </t>
  </si>
  <si>
    <t>Collaborator/Third Party Payment</t>
  </si>
  <si>
    <t xml:space="preserve">   Staff should consult their HoS for advice regarding the Faculty/School split.</t>
  </si>
  <si>
    <t xml:space="preserve">   Staff are asked to include a Contingency to cover unanticipated expenditure that may occur. This does not have 
   to be a large amount.</t>
  </si>
  <si>
    <r>
      <t xml:space="preserve">Budgeted Surplus for Internal Distribution
</t>
    </r>
    <r>
      <rPr>
        <sz val="8"/>
        <rFont val="Calibri"/>
        <family val="2"/>
        <scheme val="minor"/>
      </rPr>
      <t>(Enter $ amount which is recommended to be 15% or more)</t>
    </r>
  </si>
  <si>
    <t>Amount</t>
  </si>
  <si>
    <t>Name:</t>
  </si>
  <si>
    <t>Fund - Org - 119X - Program Code</t>
  </si>
  <si>
    <t xml:space="preserve">                    </t>
  </si>
  <si>
    <t xml:space="preserve">        Non-Salary Expense Considerations</t>
  </si>
  <si>
    <t>Please contact Finance for completion and processing of this section.</t>
  </si>
  <si>
    <t>Annual Total Cost</t>
  </si>
  <si>
    <t xml:space="preserve">   Salary costs will automatically calculate and transfer directly to the OPA Budget worksheet.</t>
  </si>
  <si>
    <t xml:space="preserve">   Competitive Neutrality Levy (CNL)/Infrastructure Levy: 
   Legislation requires that CSU commercial activities charge a competitive amount for our services, rather than 
   at a reduced price based on cost advantages that arise from being part of a large, government-funded
   institution. </t>
  </si>
  <si>
    <t xml:space="preserve">   At the conclusion of OPA and after all costs (including the CNL) have been allocated, the Faculty/School and 
   employee's share of funds should be transferred as follows:</t>
  </si>
  <si>
    <t xml:space="preserve">   Non Salary Expenses should be added to the Non-Salary Expenses worksheet. More guidance is provided below.</t>
  </si>
  <si>
    <t xml:space="preserve">   At the top of the OPA Budget, provide details of staff involved in this OPA, external party/ies, 
   description for the OPA and GL account codes.
   If you require a program code for this activity, contact your School Administration Officer for assistance.</t>
  </si>
  <si>
    <t xml:space="preserve">   The Non-Salary Expenses worksheet lists the types of expenditure to include as part of the budget for this
   activity.</t>
  </si>
  <si>
    <t xml:space="preserve">   On the worksheet, add an estimate for the appropriate items in the Amount column. Each column will 
   automatically total and transfer directly into the OPA Budget worksheet.</t>
  </si>
  <si>
    <t xml:space="preserve">   At the bottom of the OPA Budget include any notes/assumptions that you have made when compiling the 
   budget.</t>
  </si>
  <si>
    <t xml:space="preserve">   Salary Costs will feed through to the OPA Budget on completion of the Staff Costs worksheet. More guidance is 
   provided below.</t>
  </si>
  <si>
    <t xml:space="preserve">   You will need to add your own $ margin for the Intended Project Surplus and indicate how the Faculty/School 
   margin share will be split. More guidance is provided below.</t>
  </si>
  <si>
    <t xml:space="preserve">      Faculty/School - Transfer to A102
      Employee - Transfer to A109 (Staff Development Fund) or A5401 (Faculty Research Support Fund)
                              Please refer to the Fund A5401 Fact Sheet for usage guidelines                          </t>
  </si>
  <si>
    <t>Internal Salary Cost Recovery: (from Budgeted Staff Costs worksheet)</t>
  </si>
  <si>
    <r>
      <t xml:space="preserve">   Actual amounts can be obtained by running an Operating Statement in FAST. </t>
    </r>
    <r>
      <rPr>
        <sz val="11"/>
        <rFont val="Calibri"/>
        <family val="2"/>
        <scheme val="minor"/>
      </rPr>
      <t>Contact your School 
   Administration Officer for any assistance.</t>
    </r>
  </si>
  <si>
    <t xml:space="preserve">   Forward the FAST Operating Statement, OPA Reconciliation and completed Funds Transfer to your Faculty 
   Finance Officer for review.</t>
  </si>
  <si>
    <t>Internal Distribution of Surplus</t>
  </si>
  <si>
    <t xml:space="preserve">     1. Add the GL codes where you intend for any surplus to be distributed;</t>
  </si>
  <si>
    <t xml:space="preserve">     2. Transfer the salary costs for staff member from the Budgeted Staff Costs worksheet to the Internal 
          Salary Cost Recovery section.</t>
  </si>
  <si>
    <t xml:space="preserve">   When completing the OPA Reconciliation worksheet:
   </t>
  </si>
  <si>
    <t>Fund Code</t>
  </si>
  <si>
    <t>Org Code</t>
  </si>
  <si>
    <t>Program Code</t>
  </si>
  <si>
    <t xml:space="preserve">A105 </t>
  </si>
  <si>
    <t>A102-Org-620-0000</t>
  </si>
  <si>
    <r>
      <t>A109-Org-620-Prog Code</t>
    </r>
    <r>
      <rPr>
        <sz val="11"/>
        <color rgb="FFFF0000"/>
        <rFont val="Calibri"/>
        <family val="2"/>
        <scheme val="minor"/>
      </rPr>
      <t xml:space="preserve"> (#)</t>
    </r>
  </si>
  <si>
    <t>General Staff:</t>
  </si>
  <si>
    <t>Academic Staff:</t>
  </si>
  <si>
    <t>Fund - Org - 139X - Program Code</t>
  </si>
  <si>
    <t xml:space="preserve">   For assistance and feedback, please email:  budget@csu.edu.au</t>
  </si>
  <si>
    <t>Surplus
$</t>
  </si>
  <si>
    <t>Student Casual 2</t>
  </si>
  <si>
    <t>Student Casual 3</t>
  </si>
  <si>
    <t>Distribution</t>
  </si>
  <si>
    <t>YES</t>
  </si>
  <si>
    <t>NO</t>
  </si>
  <si>
    <t>Faculty/School Split - please nominate desired % split or NIL $</t>
  </si>
  <si>
    <t>Do you want a Fac/Sch Distribution to occur?</t>
  </si>
  <si>
    <t xml:space="preserve">   (A NIL Fac/Sch Dist'n requires H.O.S. approval)</t>
  </si>
  <si>
    <t>Student Rate (ex on-costs</t>
  </si>
  <si>
    <t>$/hr excl on-costs</t>
  </si>
  <si>
    <t>W/Comp 1%</t>
  </si>
  <si>
    <t>P/roll Tax 5.45%</t>
  </si>
  <si>
    <t>Super 9.5%</t>
  </si>
  <si>
    <t>P/Tax on Super 5.45%</t>
  </si>
  <si>
    <t>Gross</t>
  </si>
  <si>
    <t>2018 Increase</t>
  </si>
  <si>
    <t>Actual Increase to 2018 Rates per the adopted Enterprise Agreement</t>
  </si>
  <si>
    <t>Total Casual</t>
  </si>
  <si>
    <t>Total General</t>
  </si>
  <si>
    <t xml:space="preserve">Total Academic </t>
  </si>
  <si>
    <t>Per EBA</t>
  </si>
  <si>
    <t>Student Casual 1</t>
  </si>
  <si>
    <t>Standard Marking</t>
  </si>
  <si>
    <t>AX150</t>
  </si>
  <si>
    <t>Standard Marking (Qual)</t>
  </si>
  <si>
    <t>AX155</t>
  </si>
  <si>
    <t>Significant Marking</t>
  </si>
  <si>
    <t>AX160</t>
  </si>
  <si>
    <t>Significant Marking (Qual)</t>
  </si>
  <si>
    <t>AX165</t>
  </si>
  <si>
    <t>Other Academic Activity</t>
  </si>
  <si>
    <t>AX170</t>
  </si>
  <si>
    <t>Other Academic Activity (Qual)</t>
  </si>
  <si>
    <t>AX175</t>
  </si>
  <si>
    <t>Other Specialised Academic Activity</t>
  </si>
  <si>
    <t>AX180</t>
  </si>
  <si>
    <t>Other Specialised Academic Activity (Qual)</t>
  </si>
  <si>
    <t>AX185</t>
  </si>
  <si>
    <t>Repeat Tutorial</t>
  </si>
  <si>
    <t>AX190</t>
  </si>
  <si>
    <t>Repeat Tutorial (Qual)</t>
  </si>
  <si>
    <t>AX195</t>
  </si>
  <si>
    <t>Tutorial</t>
  </si>
  <si>
    <t>AX200</t>
  </si>
  <si>
    <t>Tutorial (Qual)</t>
  </si>
  <si>
    <t>AX205</t>
  </si>
  <si>
    <t>Repeat Lecture</t>
  </si>
  <si>
    <t>AX230</t>
  </si>
  <si>
    <t>Basic Lecture</t>
  </si>
  <si>
    <t>AX240</t>
  </si>
  <si>
    <t>Developed Lecture</t>
  </si>
  <si>
    <t>AX250</t>
  </si>
  <si>
    <t>Specialised Lecture</t>
  </si>
  <si>
    <t>AX260</t>
  </si>
  <si>
    <t>Clinical Educator (Min)</t>
  </si>
  <si>
    <t>AX274</t>
  </si>
  <si>
    <t>Clinical Educator (Max)</t>
  </si>
  <si>
    <t>AX278</t>
  </si>
  <si>
    <t>Clinical Educator (Min-Qual)</t>
  </si>
  <si>
    <t>AX284</t>
  </si>
  <si>
    <t>Clinical Educator (Max-Qual)</t>
  </si>
  <si>
    <t>AX288</t>
  </si>
  <si>
    <t>Accompanist</t>
  </si>
  <si>
    <t>AX290</t>
  </si>
  <si>
    <t>Accompanist (Qual)</t>
  </si>
  <si>
    <t>AX295</t>
  </si>
  <si>
    <t>Casual Total Cost</t>
  </si>
  <si>
    <t>Base Hrly Rate No On Costs</t>
  </si>
  <si>
    <t>2017 Gross Annual Base Pay</t>
  </si>
  <si>
    <t>EBA Ref</t>
  </si>
  <si>
    <t>Contract &lt;/= 1yr</t>
  </si>
  <si>
    <t>F/Time Hrly Rate incl On Costs</t>
  </si>
  <si>
    <t>Contract 
&lt;/= 1yr</t>
  </si>
  <si>
    <t>Annual with On Costs (17.5% Super)</t>
  </si>
  <si>
    <t>Annual with On Costs (9.5% Super)</t>
  </si>
  <si>
    <t>Contract =&lt;1yr vs Full Time</t>
  </si>
  <si>
    <t>Full Time On Costs</t>
  </si>
  <si>
    <t>Full time super</t>
  </si>
  <si>
    <t>Short Contract Super</t>
  </si>
  <si>
    <t>Short Contract On Costs</t>
  </si>
  <si>
    <t>% On Costs</t>
  </si>
  <si>
    <t>Please note: the calculator below uses 2017 salary rates + a 2% increase to determine a reasonable Salary Costing for 2018. Once CSU has a new Enterprise Agreement, the ACTUAL percentage increase can be entered/over-riden below to ensure 2018 rates are accurate.</t>
  </si>
  <si>
    <t>Academic Salary Cost Example</t>
  </si>
  <si>
    <t>Base salary</t>
  </si>
  <si>
    <t>Leave loading</t>
  </si>
  <si>
    <t>W'comp</t>
  </si>
  <si>
    <t>Payroll Tax</t>
  </si>
  <si>
    <t>Tax on Super</t>
  </si>
  <si>
    <t>Total OnCosts</t>
  </si>
  <si>
    <t>Tot Sal + OnCosts</t>
  </si>
  <si>
    <t>2018 SALARY RATES - Post EA</t>
  </si>
  <si>
    <t>2019 SALARY RATES - Post EA</t>
  </si>
  <si>
    <t>2019 Gross Annual Base Pay</t>
  </si>
  <si>
    <t>2019 Increase</t>
  </si>
  <si>
    <t>Update this page with salary changes which is linked to the Budgeted Staff Costs worksheet formulas.</t>
  </si>
  <si>
    <t>Salary Calculations - 2020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</si>
</sst>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7" formatCode="&quot;$&quot;#,##0.00;\-&quot;$&quot;#,##0.00"/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dd\-mm\-yy"/>
    <numFmt numFmtId="167" formatCode="&quot;$&quot;#,##0.00"/>
    <numFmt numFmtId="168" formatCode="dd\-mmm\-yy"/>
    <numFmt numFmtId="169" formatCode="#,##0.00_ ;\-#,##0.00\ "/>
    <numFmt numFmtId="170" formatCode="_-* #,##0.0000_-;\-* #,##0.0000_-;_-* &quot;-&quot;??_-;_-@_-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2" tint="-0.49998474074526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0"/>
      <name val="Calibri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572A"/>
        <bgColor indexed="64"/>
      </patternFill>
    </fill>
    <fill>
      <patternFill patternType="solid">
        <fgColor rgb="FF519674"/>
        <bgColor indexed="64"/>
      </patternFill>
    </fill>
    <fill>
      <patternFill patternType="solid">
        <fgColor rgb="FF0E3A32"/>
        <bgColor indexed="64"/>
      </patternFill>
    </fill>
    <fill>
      <patternFill patternType="solid">
        <fgColor rgb="FFC7B8A0"/>
        <bgColor indexed="64"/>
      </patternFill>
    </fill>
  </fills>
  <borders count="8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rgb="FFC2BDB6"/>
      </left>
      <right/>
      <top style="thin">
        <color rgb="FFC2BDB6"/>
      </top>
      <bottom style="thin">
        <color rgb="FFC2BDB6"/>
      </bottom>
      <diagonal/>
    </border>
    <border>
      <left style="thin">
        <color rgb="FFC2BDB6"/>
      </left>
      <right/>
      <top style="thin">
        <color rgb="FFC2BDB6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C2BDB6"/>
      </left>
      <right style="thin">
        <color rgb="FFC2BDB6"/>
      </right>
      <top style="thin">
        <color rgb="FFC2BDB6"/>
      </top>
      <bottom style="thin">
        <color rgb="FFC2BDB6"/>
      </bottom>
      <diagonal/>
    </border>
    <border>
      <left style="thin">
        <color rgb="FFC2BDB6"/>
      </left>
      <right style="thin">
        <color rgb="FFC2BDB6"/>
      </right>
      <top style="thin">
        <color rgb="FFC2BDB6"/>
      </top>
      <bottom/>
      <diagonal/>
    </border>
    <border>
      <left style="thin">
        <color rgb="FFC2BDB6"/>
      </left>
      <right style="thin">
        <color rgb="FFC2BDB6" tint="0.39991454817346722"/>
      </right>
      <top style="thin">
        <color rgb="FFC2BDB6" tint="0.39991454817346722"/>
      </top>
      <bottom style="thin">
        <color rgb="FFC2BDB6" tint="0.39991454817346722"/>
      </bottom>
      <diagonal/>
    </border>
    <border>
      <left style="thin">
        <color rgb="FFC2BDB6"/>
      </left>
      <right/>
      <top style="thin">
        <color rgb="FFC2BDB6" tint="0.39991454817346722"/>
      </top>
      <bottom style="thin">
        <color rgb="FFC2BDB6" tint="0.39991454817346722"/>
      </bottom>
      <diagonal/>
    </border>
    <border>
      <left style="thin">
        <color rgb="FFC2BDB6"/>
      </left>
      <right style="thin">
        <color rgb="FFC2BDB6" tint="0.39991454817346722"/>
      </right>
      <top style="thin">
        <color rgb="FFC2BDB6" tint="0.39991454817346722"/>
      </top>
      <bottom/>
      <diagonal/>
    </border>
    <border>
      <left style="thin">
        <color rgb="FFC2BDB6"/>
      </left>
      <right/>
      <top style="thin">
        <color rgb="FFC2BDB6" tint="0.39991454817346722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theme="0"/>
      </right>
      <top style="medium">
        <color indexed="64"/>
      </top>
      <bottom/>
      <diagonal/>
    </border>
    <border>
      <left/>
      <right style="thick">
        <color theme="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5" fillId="0" borderId="0"/>
    <xf numFmtId="43" fontId="15" fillId="0" borderId="0" applyFont="0" applyFill="0" applyBorder="0" applyAlignment="0" applyProtection="0"/>
  </cellStyleXfs>
  <cellXfs count="522">
    <xf numFmtId="0" fontId="0" fillId="0" borderId="0" xfId="0"/>
    <xf numFmtId="0" fontId="0" fillId="2" borderId="0" xfId="0" applyFill="1" applyBorder="1"/>
    <xf numFmtId="0" fontId="0" fillId="3" borderId="0" xfId="0" applyFill="1"/>
    <xf numFmtId="0" fontId="0" fillId="3" borderId="0" xfId="0" applyFill="1" applyBorder="1"/>
    <xf numFmtId="0" fontId="0" fillId="0" borderId="0" xfId="0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7" fillId="0" borderId="0" xfId="3" applyFill="1" applyBorder="1" applyAlignment="1" applyProtection="1"/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Font="1" applyFill="1" applyBorder="1"/>
    <xf numFmtId="0" fontId="0" fillId="0" borderId="0" xfId="0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64" fontId="0" fillId="0" borderId="25" xfId="0" applyNumberFormat="1" applyFill="1" applyBorder="1"/>
    <xf numFmtId="0" fontId="0" fillId="0" borderId="25" xfId="0" applyFill="1" applyBorder="1"/>
    <xf numFmtId="165" fontId="0" fillId="6" borderId="15" xfId="1" applyNumberFormat="1" applyFont="1" applyFill="1" applyBorder="1" applyAlignment="1">
      <alignment vertical="center"/>
    </xf>
    <xf numFmtId="0" fontId="0" fillId="6" borderId="26" xfId="0" applyFill="1" applyBorder="1" applyAlignment="1">
      <alignment vertical="center"/>
    </xf>
    <xf numFmtId="0" fontId="0" fillId="6" borderId="25" xfId="0" applyFill="1" applyBorder="1" applyAlignment="1">
      <alignment vertical="center"/>
    </xf>
    <xf numFmtId="9" fontId="0" fillId="0" borderId="25" xfId="2" applyFont="1" applyFill="1" applyBorder="1"/>
    <xf numFmtId="164" fontId="9" fillId="0" borderId="8" xfId="1" applyNumberFormat="1" applyFont="1" applyFill="1" applyBorder="1" applyAlignment="1">
      <alignment vertical="center"/>
    </xf>
    <xf numFmtId="165" fontId="0" fillId="6" borderId="14" xfId="1" applyNumberFormat="1" applyFont="1" applyFill="1" applyBorder="1" applyAlignment="1">
      <alignment vertical="center"/>
    </xf>
    <xf numFmtId="0" fontId="0" fillId="6" borderId="29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9" fillId="0" borderId="15" xfId="0" applyFont="1" applyFill="1" applyBorder="1" applyAlignment="1">
      <alignment vertical="center"/>
    </xf>
    <xf numFmtId="9" fontId="0" fillId="0" borderId="25" xfId="2" applyFont="1" applyFill="1" applyBorder="1" applyAlignment="1">
      <alignment vertical="center"/>
    </xf>
    <xf numFmtId="0" fontId="0" fillId="6" borderId="31" xfId="0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0" fillId="0" borderId="15" xfId="0" applyBorder="1"/>
    <xf numFmtId="164" fontId="0" fillId="6" borderId="22" xfId="1" applyNumberFormat="1" applyFont="1" applyFill="1" applyBorder="1" applyAlignment="1">
      <alignment vertical="center"/>
    </xf>
    <xf numFmtId="0" fontId="0" fillId="6" borderId="23" xfId="0" applyFill="1" applyBorder="1" applyAlignment="1">
      <alignment vertical="center"/>
    </xf>
    <xf numFmtId="0" fontId="5" fillId="6" borderId="24" xfId="0" applyFont="1" applyFill="1" applyBorder="1" applyAlignment="1">
      <alignment vertical="center"/>
    </xf>
    <xf numFmtId="0" fontId="0" fillId="6" borderId="18" xfId="0" applyFill="1" applyBorder="1" applyAlignment="1">
      <alignment vertical="center"/>
    </xf>
    <xf numFmtId="0" fontId="0" fillId="6" borderId="36" xfId="0" applyFill="1" applyBorder="1" applyAlignment="1">
      <alignment vertical="center"/>
    </xf>
    <xf numFmtId="0" fontId="0" fillId="6" borderId="20" xfId="0" applyFill="1" applyBorder="1" applyAlignment="1">
      <alignment vertical="center"/>
    </xf>
    <xf numFmtId="0" fontId="0" fillId="6" borderId="37" xfId="0" applyFill="1" applyBorder="1" applyAlignment="1">
      <alignment vertical="center"/>
    </xf>
    <xf numFmtId="164" fontId="0" fillId="6" borderId="32" xfId="1" applyNumberFormat="1" applyFont="1" applyFill="1" applyBorder="1" applyAlignment="1">
      <alignment vertical="center"/>
    </xf>
    <xf numFmtId="0" fontId="0" fillId="6" borderId="33" xfId="0" applyFill="1" applyBorder="1" applyAlignment="1">
      <alignment vertical="center"/>
    </xf>
    <xf numFmtId="0" fontId="0" fillId="6" borderId="39" xfId="0" applyFill="1" applyBorder="1" applyAlignment="1">
      <alignment vertical="center"/>
    </xf>
    <xf numFmtId="0" fontId="0" fillId="6" borderId="40" xfId="0" applyFill="1" applyBorder="1" applyAlignment="1">
      <alignment vertical="center"/>
    </xf>
    <xf numFmtId="0" fontId="0" fillId="0" borderId="0" xfId="0" applyFill="1" applyAlignment="1">
      <alignment wrapText="1"/>
    </xf>
    <xf numFmtId="0" fontId="0" fillId="0" borderId="23" xfId="0" applyBorder="1"/>
    <xf numFmtId="0" fontId="0" fillId="0" borderId="8" xfId="0" applyBorder="1"/>
    <xf numFmtId="0" fontId="0" fillId="0" borderId="0" xfId="0" applyBorder="1"/>
    <xf numFmtId="0" fontId="0" fillId="0" borderId="25" xfId="0" applyBorder="1"/>
    <xf numFmtId="0" fontId="1" fillId="0" borderId="0" xfId="0" applyFont="1" applyFill="1" applyBorder="1" applyAlignment="1">
      <alignment vertical="center"/>
    </xf>
    <xf numFmtId="0" fontId="0" fillId="0" borderId="28" xfId="0" applyBorder="1"/>
    <xf numFmtId="0" fontId="0" fillId="0" borderId="27" xfId="0" applyFont="1" applyFill="1" applyBorder="1" applyAlignment="1">
      <alignment vertical="center"/>
    </xf>
    <xf numFmtId="0" fontId="0" fillId="0" borderId="30" xfId="0" applyFont="1" applyFill="1" applyBorder="1" applyAlignment="1">
      <alignment vertical="center"/>
    </xf>
    <xf numFmtId="0" fontId="0" fillId="0" borderId="33" xfId="0" applyFont="1" applyFill="1" applyBorder="1" applyAlignment="1">
      <alignment vertical="center"/>
    </xf>
    <xf numFmtId="0" fontId="5" fillId="0" borderId="22" xfId="0" applyFont="1" applyFill="1" applyBorder="1"/>
    <xf numFmtId="0" fontId="5" fillId="0" borderId="23" xfId="0" applyFont="1" applyFill="1" applyBorder="1"/>
    <xf numFmtId="0" fontId="5" fillId="0" borderId="24" xfId="0" applyFont="1" applyFill="1" applyBorder="1"/>
    <xf numFmtId="0" fontId="0" fillId="6" borderId="0" xfId="0" applyFill="1" applyBorder="1" applyAlignment="1">
      <alignment horizontal="center"/>
    </xf>
    <xf numFmtId="0" fontId="0" fillId="0" borderId="16" xfId="0" applyFill="1" applyBorder="1"/>
    <xf numFmtId="0" fontId="0" fillId="6" borderId="11" xfId="0" applyFill="1" applyBorder="1"/>
    <xf numFmtId="0" fontId="0" fillId="6" borderId="21" xfId="0" applyFill="1" applyBorder="1"/>
    <xf numFmtId="0" fontId="1" fillId="6" borderId="8" xfId="0" applyFont="1" applyFill="1" applyBorder="1"/>
    <xf numFmtId="0" fontId="0" fillId="6" borderId="32" xfId="0" applyFill="1" applyBorder="1"/>
    <xf numFmtId="0" fontId="0" fillId="6" borderId="8" xfId="0" applyFill="1" applyBorder="1"/>
    <xf numFmtId="0" fontId="0" fillId="0" borderId="0" xfId="0" applyFont="1" applyFill="1"/>
    <xf numFmtId="0" fontId="0" fillId="0" borderId="0" xfId="0" applyFont="1"/>
    <xf numFmtId="0" fontId="9" fillId="0" borderId="0" xfId="4" applyFont="1" applyFill="1" applyBorder="1"/>
    <xf numFmtId="0" fontId="8" fillId="0" borderId="0" xfId="4" applyFont="1" applyFill="1" applyBorder="1"/>
    <xf numFmtId="0" fontId="16" fillId="0" borderId="0" xfId="4" applyFont="1" applyFill="1" applyBorder="1" applyAlignment="1">
      <alignment horizontal="left" indent="2"/>
    </xf>
    <xf numFmtId="166" fontId="0" fillId="0" borderId="0" xfId="0" applyNumberFormat="1"/>
    <xf numFmtId="167" fontId="0" fillId="0" borderId="0" xfId="0" applyNumberFormat="1"/>
    <xf numFmtId="4" fontId="0" fillId="0" borderId="0" xfId="0" applyNumberFormat="1"/>
    <xf numFmtId="9" fontId="0" fillId="0" borderId="0" xfId="0" applyNumberFormat="1"/>
    <xf numFmtId="168" fontId="0" fillId="0" borderId="0" xfId="0" applyNumberFormat="1"/>
    <xf numFmtId="3" fontId="0" fillId="0" borderId="0" xfId="0" applyNumberFormat="1"/>
    <xf numFmtId="169" fontId="0" fillId="0" borderId="58" xfId="0" applyNumberFormat="1" applyFont="1" applyFill="1" applyBorder="1" applyProtection="1">
      <protection locked="0"/>
    </xf>
    <xf numFmtId="169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169" fontId="0" fillId="0" borderId="59" xfId="0" applyNumberFormat="1" applyFont="1" applyFill="1" applyBorder="1" applyProtection="1">
      <protection locked="0"/>
    </xf>
    <xf numFmtId="0" fontId="0" fillId="0" borderId="8" xfId="0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5" fillId="0" borderId="8" xfId="0" applyFont="1" applyBorder="1"/>
    <xf numFmtId="0" fontId="5" fillId="0" borderId="8" xfId="0" applyFont="1" applyFill="1" applyBorder="1"/>
    <xf numFmtId="0" fontId="5" fillId="0" borderId="0" xfId="0" applyFont="1"/>
    <xf numFmtId="4" fontId="0" fillId="0" borderId="0" xfId="0" applyNumberFormat="1" applyBorder="1"/>
    <xf numFmtId="0" fontId="0" fillId="0" borderId="0" xfId="0" applyBorder="1" applyAlignment="1">
      <alignment wrapText="1"/>
    </xf>
    <xf numFmtId="0" fontId="5" fillId="0" borderId="0" xfId="0" applyFont="1" applyBorder="1"/>
    <xf numFmtId="0" fontId="5" fillId="0" borderId="11" xfId="0" applyFont="1" applyBorder="1"/>
    <xf numFmtId="0" fontId="5" fillId="0" borderId="11" xfId="0" applyFont="1" applyFill="1" applyBorder="1"/>
    <xf numFmtId="0" fontId="11" fillId="0" borderId="63" xfId="0" applyFont="1" applyFill="1" applyBorder="1" applyProtection="1">
      <protection locked="0"/>
    </xf>
    <xf numFmtId="7" fontId="11" fillId="0" borderId="58" xfId="0" applyNumberFormat="1" applyFont="1" applyFill="1" applyBorder="1" applyProtection="1">
      <protection locked="0"/>
    </xf>
    <xf numFmtId="7" fontId="11" fillId="0" borderId="58" xfId="0" applyNumberFormat="1" applyFont="1" applyBorder="1" applyProtection="1">
      <protection locked="0"/>
    </xf>
    <xf numFmtId="9" fontId="11" fillId="0" borderId="58" xfId="0" applyNumberFormat="1" applyFont="1" applyBorder="1" applyProtection="1">
      <protection locked="0"/>
    </xf>
    <xf numFmtId="168" fontId="11" fillId="0" borderId="58" xfId="0" applyNumberFormat="1" applyFont="1" applyBorder="1" applyProtection="1">
      <protection locked="0"/>
    </xf>
    <xf numFmtId="0" fontId="11" fillId="0" borderId="58" xfId="0" applyFont="1" applyBorder="1" applyProtection="1">
      <protection locked="0"/>
    </xf>
    <xf numFmtId="0" fontId="11" fillId="0" borderId="64" xfId="0" applyFont="1" applyFill="1" applyBorder="1" applyProtection="1">
      <protection locked="0"/>
    </xf>
    <xf numFmtId="7" fontId="11" fillId="0" borderId="59" xfId="0" applyNumberFormat="1" applyFont="1" applyFill="1" applyBorder="1" applyProtection="1">
      <protection locked="0"/>
    </xf>
    <xf numFmtId="7" fontId="11" fillId="0" borderId="59" xfId="0" applyNumberFormat="1" applyFont="1" applyBorder="1" applyProtection="1">
      <protection locked="0"/>
    </xf>
    <xf numFmtId="9" fontId="11" fillId="0" borderId="59" xfId="0" applyNumberFormat="1" applyFont="1" applyBorder="1" applyProtection="1">
      <protection locked="0"/>
    </xf>
    <xf numFmtId="168" fontId="11" fillId="0" borderId="59" xfId="0" applyNumberFormat="1" applyFont="1" applyBorder="1" applyProtection="1">
      <protection locked="0"/>
    </xf>
    <xf numFmtId="0" fontId="11" fillId="0" borderId="59" xfId="0" applyFont="1" applyBorder="1" applyProtection="1">
      <protection locked="0"/>
    </xf>
    <xf numFmtId="7" fontId="0" fillId="0" borderId="0" xfId="0" applyNumberFormat="1"/>
    <xf numFmtId="0" fontId="11" fillId="0" borderId="65" xfId="0" applyFont="1" applyFill="1" applyBorder="1" applyProtection="1">
      <protection locked="0"/>
    </xf>
    <xf numFmtId="7" fontId="11" fillId="0" borderId="66" xfId="0" applyNumberFormat="1" applyFont="1" applyFill="1" applyBorder="1" applyProtection="1">
      <protection locked="0"/>
    </xf>
    <xf numFmtId="7" fontId="11" fillId="0" borderId="66" xfId="0" applyNumberFormat="1" applyFont="1" applyBorder="1" applyProtection="1">
      <protection locked="0"/>
    </xf>
    <xf numFmtId="0" fontId="11" fillId="0" borderId="66" xfId="0" applyFont="1" applyBorder="1" applyProtection="1">
      <protection locked="0"/>
    </xf>
    <xf numFmtId="168" fontId="11" fillId="0" borderId="66" xfId="0" applyNumberFormat="1" applyFont="1" applyBorder="1" applyProtection="1">
      <protection locked="0"/>
    </xf>
    <xf numFmtId="0" fontId="11" fillId="0" borderId="67" xfId="0" applyFont="1" applyFill="1" applyBorder="1" applyProtection="1">
      <protection locked="0"/>
    </xf>
    <xf numFmtId="7" fontId="11" fillId="0" borderId="68" xfId="0" applyNumberFormat="1" applyFont="1" applyFill="1" applyBorder="1" applyProtection="1">
      <protection locked="0"/>
    </xf>
    <xf numFmtId="7" fontId="11" fillId="0" borderId="68" xfId="0" applyNumberFormat="1" applyFont="1" applyBorder="1" applyProtection="1">
      <protection locked="0"/>
    </xf>
    <xf numFmtId="0" fontId="11" fillId="0" borderId="68" xfId="0" applyFont="1" applyBorder="1" applyProtection="1">
      <protection locked="0"/>
    </xf>
    <xf numFmtId="168" fontId="11" fillId="0" borderId="68" xfId="0" applyNumberFormat="1" applyFont="1" applyBorder="1" applyProtection="1">
      <protection locked="0"/>
    </xf>
    <xf numFmtId="0" fontId="0" fillId="0" borderId="0" xfId="0" applyAlignment="1">
      <alignment horizontal="center"/>
    </xf>
    <xf numFmtId="0" fontId="9" fillId="0" borderId="28" xfId="0" applyFont="1" applyFill="1" applyBorder="1" applyAlignment="1">
      <alignment horizontal="left"/>
    </xf>
    <xf numFmtId="0" fontId="9" fillId="0" borderId="25" xfId="0" applyFont="1" applyFill="1" applyBorder="1" applyAlignment="1">
      <alignment horizontal="left"/>
    </xf>
    <xf numFmtId="0" fontId="0" fillId="0" borderId="27" xfId="0" applyBorder="1"/>
    <xf numFmtId="164" fontId="0" fillId="0" borderId="34" xfId="1" applyNumberFormat="1" applyFont="1" applyFill="1" applyBorder="1" applyAlignment="1">
      <alignment vertical="center"/>
    </xf>
    <xf numFmtId="0" fontId="0" fillId="4" borderId="0" xfId="0" applyFill="1"/>
    <xf numFmtId="0" fontId="20" fillId="0" borderId="0" xfId="0" applyFont="1" applyAlignment="1">
      <alignment vertical="center"/>
    </xf>
    <xf numFmtId="0" fontId="0" fillId="0" borderId="40" xfId="0" applyFill="1" applyBorder="1"/>
    <xf numFmtId="0" fontId="0" fillId="0" borderId="42" xfId="0" applyFill="1" applyBorder="1" applyAlignment="1">
      <alignment wrapText="1"/>
    </xf>
    <xf numFmtId="0" fontId="0" fillId="0" borderId="15" xfId="0" applyFill="1" applyBorder="1" applyAlignment="1">
      <alignment wrapText="1"/>
    </xf>
    <xf numFmtId="0" fontId="0" fillId="0" borderId="28" xfId="0" applyFill="1" applyBorder="1"/>
    <xf numFmtId="0" fontId="0" fillId="0" borderId="41" xfId="0" applyFill="1" applyBorder="1" applyAlignment="1">
      <alignment wrapText="1"/>
    </xf>
    <xf numFmtId="0" fontId="0" fillId="0" borderId="41" xfId="0" applyFill="1" applyBorder="1"/>
    <xf numFmtId="0" fontId="0" fillId="0" borderId="15" xfId="0" applyFill="1" applyBorder="1"/>
    <xf numFmtId="0" fontId="0" fillId="0" borderId="25" xfId="0" applyFill="1" applyBorder="1" applyAlignment="1">
      <alignment wrapText="1"/>
    </xf>
    <xf numFmtId="0" fontId="0" fillId="6" borderId="71" xfId="0" applyFill="1" applyBorder="1" applyAlignment="1"/>
    <xf numFmtId="0" fontId="0" fillId="6" borderId="72" xfId="0" applyFill="1" applyBorder="1" applyAlignment="1"/>
    <xf numFmtId="0" fontId="13" fillId="6" borderId="71" xfId="0" quotePrefix="1" applyFont="1" applyFill="1" applyBorder="1" applyAlignment="1">
      <alignment horizontal="left" vertical="center"/>
    </xf>
    <xf numFmtId="0" fontId="0" fillId="0" borderId="62" xfId="0" applyBorder="1"/>
    <xf numFmtId="0" fontId="21" fillId="0" borderId="60" xfId="0" applyFont="1" applyBorder="1" applyAlignment="1">
      <alignment vertical="center"/>
    </xf>
    <xf numFmtId="0" fontId="19" fillId="0" borderId="41" xfId="0" applyFont="1" applyFill="1" applyBorder="1" applyAlignment="1">
      <alignment horizontal="left" vertical="center"/>
    </xf>
    <xf numFmtId="0" fontId="20" fillId="2" borderId="62" xfId="0" applyFont="1" applyFill="1" applyBorder="1" applyAlignment="1">
      <alignment vertical="center"/>
    </xf>
    <xf numFmtId="0" fontId="21" fillId="7" borderId="60" xfId="0" applyFont="1" applyFill="1" applyBorder="1" applyAlignment="1">
      <alignment vertical="center"/>
    </xf>
    <xf numFmtId="0" fontId="0" fillId="6" borderId="0" xfId="0" applyFill="1" applyBorder="1"/>
    <xf numFmtId="0" fontId="0" fillId="0" borderId="15" xfId="0" applyFill="1" applyBorder="1" applyAlignment="1">
      <alignment horizontal="left" wrapText="1"/>
    </xf>
    <xf numFmtId="0" fontId="0" fillId="8" borderId="15" xfId="0" applyFill="1" applyBorder="1" applyAlignment="1">
      <alignment wrapText="1"/>
    </xf>
    <xf numFmtId="0" fontId="0" fillId="8" borderId="25" xfId="0" applyFill="1" applyBorder="1"/>
    <xf numFmtId="0" fontId="13" fillId="6" borderId="0" xfId="0" quotePrefix="1" applyFont="1" applyFill="1" applyBorder="1" applyAlignment="1">
      <alignment horizontal="left" vertical="center"/>
    </xf>
    <xf numFmtId="164" fontId="0" fillId="6" borderId="77" xfId="1" applyNumberFormat="1" applyFont="1" applyFill="1" applyBorder="1" applyAlignment="1"/>
    <xf numFmtId="43" fontId="1" fillId="0" borderId="15" xfId="1" applyNumberFormat="1" applyFont="1" applyFill="1" applyBorder="1" applyAlignment="1">
      <alignment vertical="center"/>
    </xf>
    <xf numFmtId="0" fontId="0" fillId="0" borderId="41" xfId="0" applyBorder="1"/>
    <xf numFmtId="3" fontId="0" fillId="0" borderId="47" xfId="0" applyNumberFormat="1" applyFill="1" applyBorder="1" applyAlignment="1">
      <alignment horizontal="center"/>
    </xf>
    <xf numFmtId="4" fontId="0" fillId="0" borderId="48" xfId="0" applyNumberFormat="1" applyFill="1" applyBorder="1" applyAlignment="1">
      <alignment horizontal="center"/>
    </xf>
    <xf numFmtId="0" fontId="0" fillId="0" borderId="14" xfId="0" applyFill="1" applyBorder="1"/>
    <xf numFmtId="0" fontId="0" fillId="0" borderId="16" xfId="0" applyBorder="1" applyAlignment="1">
      <alignment horizontal="right"/>
    </xf>
    <xf numFmtId="0" fontId="0" fillId="6" borderId="34" xfId="0" applyFill="1" applyBorder="1" applyAlignment="1">
      <alignment horizontal="right"/>
    </xf>
    <xf numFmtId="0" fontId="0" fillId="0" borderId="34" xfId="0" applyBorder="1" applyAlignment="1">
      <alignment horizontal="right"/>
    </xf>
    <xf numFmtId="0" fontId="0" fillId="0" borderId="78" xfId="0" applyFont="1" applyFill="1" applyBorder="1" applyAlignment="1">
      <alignment vertical="center"/>
    </xf>
    <xf numFmtId="164" fontId="0" fillId="0" borderId="0" xfId="0" applyNumberFormat="1"/>
    <xf numFmtId="0" fontId="0" fillId="0" borderId="41" xfId="0" applyFont="1" applyFill="1" applyBorder="1" applyAlignment="1">
      <alignment vertical="center"/>
    </xf>
    <xf numFmtId="0" fontId="9" fillId="0" borderId="34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0" fillId="0" borderId="20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10" fontId="0" fillId="0" borderId="0" xfId="2" applyNumberFormat="1" applyFont="1"/>
    <xf numFmtId="9" fontId="0" fillId="0" borderId="0" xfId="2" applyFont="1" applyFill="1" applyAlignment="1">
      <alignment vertical="center"/>
    </xf>
    <xf numFmtId="9" fontId="0" fillId="0" borderId="0" xfId="2" applyFont="1" applyFill="1"/>
    <xf numFmtId="0" fontId="0" fillId="0" borderId="40" xfId="0" applyBorder="1"/>
    <xf numFmtId="0" fontId="0" fillId="0" borderId="15" xfId="0" applyFill="1" applyBorder="1" applyAlignment="1"/>
    <xf numFmtId="0" fontId="23" fillId="0" borderId="0" xfId="0" applyFont="1" applyFill="1" applyBorder="1"/>
    <xf numFmtId="0" fontId="7" fillId="6" borderId="38" xfId="3" applyFill="1" applyBorder="1" applyAlignment="1" applyProtection="1">
      <alignment vertical="center"/>
    </xf>
    <xf numFmtId="165" fontId="0" fillId="8" borderId="14" xfId="1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8" borderId="43" xfId="0" applyFill="1" applyBorder="1" applyAlignment="1" applyProtection="1">
      <alignment horizontal="center"/>
      <protection locked="0"/>
    </xf>
    <xf numFmtId="0" fontId="0" fillId="8" borderId="23" xfId="0" applyFill="1" applyBorder="1" applyAlignment="1" applyProtection="1">
      <alignment horizontal="center"/>
      <protection locked="0"/>
    </xf>
    <xf numFmtId="0" fontId="0" fillId="8" borderId="52" xfId="0" applyFill="1" applyBorder="1" applyAlignment="1" applyProtection="1">
      <alignment horizontal="center"/>
      <protection locked="0"/>
    </xf>
    <xf numFmtId="0" fontId="0" fillId="8" borderId="48" xfId="0" applyFill="1" applyBorder="1" applyAlignment="1" applyProtection="1">
      <alignment horizontal="center"/>
      <protection locked="0"/>
    </xf>
    <xf numFmtId="3" fontId="0" fillId="8" borderId="56" xfId="0" applyNumberFormat="1" applyFill="1" applyBorder="1" applyAlignment="1" applyProtection="1">
      <alignment horizontal="center"/>
      <protection locked="0"/>
    </xf>
    <xf numFmtId="0" fontId="0" fillId="8" borderId="46" xfId="0" applyFill="1" applyBorder="1" applyAlignment="1" applyProtection="1">
      <alignment horizontal="center"/>
      <protection locked="0"/>
    </xf>
    <xf numFmtId="0" fontId="0" fillId="8" borderId="51" xfId="0" applyFill="1" applyBorder="1" applyAlignment="1" applyProtection="1">
      <alignment horizontal="center"/>
      <protection locked="0"/>
    </xf>
    <xf numFmtId="0" fontId="0" fillId="8" borderId="50" xfId="0" applyFill="1" applyBorder="1" applyAlignment="1" applyProtection="1">
      <alignment horizontal="center"/>
      <protection locked="0"/>
    </xf>
    <xf numFmtId="0" fontId="0" fillId="8" borderId="49" xfId="0" applyFill="1" applyBorder="1" applyAlignment="1" applyProtection="1">
      <alignment horizontal="center"/>
      <protection locked="0"/>
    </xf>
    <xf numFmtId="0" fontId="0" fillId="8" borderId="37" xfId="0" applyFill="1" applyBorder="1" applyAlignment="1" applyProtection="1">
      <alignment horizontal="center"/>
      <protection locked="0"/>
    </xf>
    <xf numFmtId="0" fontId="0" fillId="8" borderId="39" xfId="0" applyFill="1" applyBorder="1" applyAlignment="1" applyProtection="1">
      <alignment horizontal="center"/>
      <protection locked="0"/>
    </xf>
    <xf numFmtId="0" fontId="0" fillId="8" borderId="0" xfId="0" applyFill="1" applyBorder="1" applyAlignment="1" applyProtection="1">
      <alignment horizontal="center"/>
      <protection locked="0"/>
    </xf>
    <xf numFmtId="0" fontId="0" fillId="8" borderId="47" xfId="0" applyFill="1" applyBorder="1" applyAlignment="1" applyProtection="1">
      <alignment horizontal="center"/>
      <protection locked="0"/>
    </xf>
    <xf numFmtId="43" fontId="3" fillId="8" borderId="69" xfId="1" applyNumberFormat="1" applyFont="1" applyFill="1" applyBorder="1" applyProtection="1">
      <protection locked="0"/>
    </xf>
    <xf numFmtId="43" fontId="3" fillId="8" borderId="30" xfId="1" applyNumberFormat="1" applyFont="1" applyFill="1" applyBorder="1" applyAlignment="1" applyProtection="1">
      <alignment vertical="center"/>
      <protection locked="0"/>
    </xf>
    <xf numFmtId="43" fontId="3" fillId="8" borderId="41" xfId="1" applyNumberFormat="1" applyFont="1" applyFill="1" applyBorder="1" applyAlignment="1" applyProtection="1">
      <alignment vertical="center"/>
      <protection locked="0"/>
    </xf>
    <xf numFmtId="0" fontId="9" fillId="8" borderId="0" xfId="0" applyFont="1" applyFill="1" applyBorder="1" applyAlignment="1" applyProtection="1">
      <alignment horizontal="left" wrapText="1"/>
      <protection locked="0"/>
    </xf>
    <xf numFmtId="0" fontId="9" fillId="8" borderId="27" xfId="0" applyFont="1" applyFill="1" applyBorder="1" applyAlignment="1" applyProtection="1">
      <alignment horizontal="left" wrapText="1"/>
      <protection locked="0"/>
    </xf>
    <xf numFmtId="43" fontId="0" fillId="8" borderId="22" xfId="0" applyNumberFormat="1" applyFill="1" applyBorder="1" applyProtection="1">
      <protection locked="0"/>
    </xf>
    <xf numFmtId="0" fontId="2" fillId="4" borderId="0" xfId="0" applyFont="1" applyFill="1" applyAlignment="1">
      <alignment vertical="center"/>
    </xf>
    <xf numFmtId="0" fontId="9" fillId="0" borderId="15" xfId="0" applyFont="1" applyFill="1" applyBorder="1" applyAlignment="1">
      <alignment wrapText="1"/>
    </xf>
    <xf numFmtId="0" fontId="0" fillId="0" borderId="74" xfId="0" applyFill="1" applyBorder="1"/>
    <xf numFmtId="0" fontId="0" fillId="0" borderId="74" xfId="0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24" xfId="0" applyFill="1" applyBorder="1"/>
    <xf numFmtId="0" fontId="19" fillId="0" borderId="22" xfId="0" applyFont="1" applyFill="1" applyBorder="1" applyAlignment="1">
      <alignment horizontal="left" vertical="center"/>
    </xf>
    <xf numFmtId="0" fontId="0" fillId="0" borderId="74" xfId="0" applyBorder="1"/>
    <xf numFmtId="0" fontId="17" fillId="0" borderId="0" xfId="0" applyFont="1" applyFill="1" applyBorder="1" applyAlignment="1">
      <alignment vertical="top"/>
    </xf>
    <xf numFmtId="0" fontId="0" fillId="0" borderId="0" xfId="0" applyFont="1" applyFill="1" applyBorder="1"/>
    <xf numFmtId="0" fontId="0" fillId="0" borderId="0" xfId="0" applyFont="1" applyBorder="1"/>
    <xf numFmtId="0" fontId="9" fillId="0" borderId="76" xfId="4" applyFont="1" applyFill="1" applyBorder="1"/>
    <xf numFmtId="0" fontId="9" fillId="0" borderId="0" xfId="4" applyFont="1" applyBorder="1"/>
    <xf numFmtId="0" fontId="0" fillId="0" borderId="76" xfId="0" applyFont="1" applyFill="1" applyBorder="1"/>
    <xf numFmtId="164" fontId="9" fillId="0" borderId="76" xfId="5" applyNumberFormat="1" applyFont="1" applyFill="1" applyBorder="1" applyAlignment="1">
      <alignment horizontal="left"/>
    </xf>
    <xf numFmtId="0" fontId="0" fillId="0" borderId="73" xfId="0" applyFont="1" applyFill="1" applyBorder="1"/>
    <xf numFmtId="0" fontId="0" fillId="0" borderId="74" xfId="0" applyFont="1" applyFill="1" applyBorder="1"/>
    <xf numFmtId="0" fontId="9" fillId="0" borderId="74" xfId="4" applyFont="1" applyFill="1" applyBorder="1"/>
    <xf numFmtId="0" fontId="0" fillId="0" borderId="74" xfId="0" applyFont="1" applyBorder="1"/>
    <xf numFmtId="0" fontId="0" fillId="0" borderId="11" xfId="0" applyBorder="1"/>
    <xf numFmtId="0" fontId="0" fillId="0" borderId="15" xfId="0" applyFill="1" applyBorder="1" applyAlignment="1">
      <alignment vertical="top" wrapText="1"/>
    </xf>
    <xf numFmtId="0" fontId="0" fillId="0" borderId="0" xfId="0" applyBorder="1" applyAlignment="1">
      <alignment horizontal="left"/>
    </xf>
    <xf numFmtId="43" fontId="0" fillId="0" borderId="15" xfId="0" applyNumberFormat="1" applyFill="1" applyBorder="1" applyProtection="1">
      <protection locked="0"/>
    </xf>
    <xf numFmtId="168" fontId="0" fillId="0" borderId="59" xfId="0" applyNumberFormat="1" applyFont="1" applyBorder="1" applyProtection="1">
      <protection locked="0"/>
    </xf>
    <xf numFmtId="9" fontId="0" fillId="0" borderId="0" xfId="2" applyFont="1"/>
    <xf numFmtId="9" fontId="0" fillId="0" borderId="0" xfId="0" applyNumberFormat="1" applyFill="1"/>
    <xf numFmtId="165" fontId="0" fillId="0" borderId="0" xfId="0" applyNumberFormat="1" applyFill="1"/>
    <xf numFmtId="169" fontId="0" fillId="0" borderId="0" xfId="0" applyNumberFormat="1" applyFill="1"/>
    <xf numFmtId="164" fontId="0" fillId="0" borderId="0" xfId="1" applyNumberFormat="1" applyFont="1" applyFill="1"/>
    <xf numFmtId="0" fontId="0" fillId="0" borderId="21" xfId="0" applyFill="1" applyBorder="1" applyAlignment="1">
      <alignment vertical="center"/>
    </xf>
    <xf numFmtId="0" fontId="0" fillId="8" borderId="50" xfId="0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16" xfId="0" applyBorder="1"/>
    <xf numFmtId="9" fontId="9" fillId="8" borderId="19" xfId="2" applyFont="1" applyFill="1" applyBorder="1" applyAlignment="1" applyProtection="1">
      <alignment horizontal="center" vertical="center"/>
      <protection locked="0"/>
    </xf>
    <xf numFmtId="164" fontId="9" fillId="0" borderId="19" xfId="1" applyNumberFormat="1" applyFont="1" applyFill="1" applyBorder="1" applyAlignment="1">
      <alignment vertical="center"/>
    </xf>
    <xf numFmtId="9" fontId="9" fillId="0" borderId="9" xfId="2" applyFont="1" applyFill="1" applyBorder="1" applyAlignment="1" applyProtection="1">
      <alignment horizontal="center" vertical="center"/>
      <protection locked="0"/>
    </xf>
    <xf numFmtId="164" fontId="9" fillId="0" borderId="81" xfId="1" applyNumberFormat="1" applyFont="1" applyFill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0" fillId="0" borderId="34" xfId="0" applyBorder="1"/>
    <xf numFmtId="0" fontId="9" fillId="0" borderId="20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0" fillId="0" borderId="35" xfId="0" applyBorder="1"/>
    <xf numFmtId="0" fontId="26" fillId="0" borderId="28" xfId="0" quotePrefix="1" applyFont="1" applyBorder="1"/>
    <xf numFmtId="2" fontId="0" fillId="0" borderId="0" xfId="0" applyNumberFormat="1"/>
    <xf numFmtId="0" fontId="0" fillId="0" borderId="59" xfId="0" applyFont="1" applyBorder="1" applyAlignment="1" applyProtection="1">
      <alignment wrapText="1"/>
      <protection locked="0"/>
    </xf>
    <xf numFmtId="168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43" fontId="0" fillId="0" borderId="0" xfId="1" applyFont="1" applyAlignment="1"/>
    <xf numFmtId="164" fontId="0" fillId="0" borderId="0" xfId="1" applyNumberFormat="1" applyFont="1" applyAlignment="1"/>
    <xf numFmtId="43" fontId="0" fillId="0" borderId="0" xfId="0" applyNumberFormat="1"/>
    <xf numFmtId="0" fontId="5" fillId="6" borderId="8" xfId="0" applyFont="1" applyFill="1" applyBorder="1" applyAlignment="1">
      <alignment horizontal="right"/>
    </xf>
    <xf numFmtId="0" fontId="0" fillId="6" borderId="0" xfId="0" applyFill="1" applyBorder="1" applyAlignment="1">
      <alignment horizontal="right"/>
    </xf>
    <xf numFmtId="0" fontId="5" fillId="0" borderId="62" xfId="0" applyFont="1" applyFill="1" applyBorder="1" applyAlignment="1">
      <alignment horizontal="left" vertical="center"/>
    </xf>
    <xf numFmtId="0" fontId="21" fillId="0" borderId="61" xfId="0" applyFont="1" applyFill="1" applyBorder="1" applyAlignment="1">
      <alignment horizontal="center" vertical="center"/>
    </xf>
    <xf numFmtId="9" fontId="27" fillId="8" borderId="82" xfId="0" applyNumberFormat="1" applyFont="1" applyFill="1" applyBorder="1" applyAlignment="1" applyProtection="1">
      <alignment horizontal="center" vertical="center"/>
      <protection locked="0"/>
    </xf>
    <xf numFmtId="9" fontId="5" fillId="0" borderId="8" xfId="0" applyNumberFormat="1" applyFont="1" applyBorder="1"/>
    <xf numFmtId="4" fontId="0" fillId="3" borderId="0" xfId="0" applyNumberFormat="1" applyFill="1"/>
    <xf numFmtId="0" fontId="5" fillId="3" borderId="8" xfId="0" applyFont="1" applyFill="1" applyBorder="1" applyAlignment="1">
      <alignment horizontal="center" vertical="center" wrapText="1"/>
    </xf>
    <xf numFmtId="168" fontId="5" fillId="3" borderId="8" xfId="0" applyNumberFormat="1" applyFont="1" applyFill="1" applyBorder="1" applyAlignment="1">
      <alignment horizontal="center" vertical="center" wrapText="1"/>
    </xf>
    <xf numFmtId="9" fontId="5" fillId="3" borderId="8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/>
    </xf>
    <xf numFmtId="0" fontId="8" fillId="0" borderId="83" xfId="4" applyFont="1" applyFill="1" applyBorder="1"/>
    <xf numFmtId="0" fontId="8" fillId="0" borderId="23" xfId="4" applyFont="1" applyFill="1" applyBorder="1"/>
    <xf numFmtId="164" fontId="0" fillId="0" borderId="0" xfId="1" applyNumberFormat="1" applyFont="1" applyFill="1" applyBorder="1"/>
    <xf numFmtId="164" fontId="9" fillId="8" borderId="0" xfId="1" applyNumberFormat="1" applyFont="1" applyFill="1" applyBorder="1" applyProtection="1">
      <protection locked="0"/>
    </xf>
    <xf numFmtId="164" fontId="9" fillId="0" borderId="0" xfId="1" applyNumberFormat="1" applyFont="1" applyFill="1" applyBorder="1"/>
    <xf numFmtId="164" fontId="8" fillId="0" borderId="23" xfId="1" applyNumberFormat="1" applyFont="1" applyFill="1" applyBorder="1"/>
    <xf numFmtId="164" fontId="9" fillId="0" borderId="0" xfId="1" applyNumberFormat="1" applyFont="1" applyFill="1" applyBorder="1" applyAlignment="1">
      <alignment horizontal="left"/>
    </xf>
    <xf numFmtId="164" fontId="0" fillId="0" borderId="74" xfId="1" applyNumberFormat="1" applyFont="1" applyFill="1" applyBorder="1"/>
    <xf numFmtId="164" fontId="8" fillId="0" borderId="0" xfId="1" applyNumberFormat="1" applyFont="1" applyFill="1" applyBorder="1"/>
    <xf numFmtId="164" fontId="8" fillId="8" borderId="0" xfId="1" applyNumberFormat="1" applyFont="1" applyFill="1" applyBorder="1" applyProtection="1">
      <protection locked="0"/>
    </xf>
    <xf numFmtId="164" fontId="0" fillId="8" borderId="0" xfId="1" applyNumberFormat="1" applyFont="1" applyFill="1" applyBorder="1" applyProtection="1">
      <protection locked="0"/>
    </xf>
    <xf numFmtId="164" fontId="9" fillId="8" borderId="0" xfId="1" applyNumberFormat="1" applyFont="1" applyFill="1" applyBorder="1" applyAlignment="1" applyProtection="1">
      <alignment horizontal="left"/>
      <protection locked="0"/>
    </xf>
    <xf numFmtId="164" fontId="9" fillId="8" borderId="77" xfId="1" applyNumberFormat="1" applyFont="1" applyFill="1" applyBorder="1" applyProtection="1">
      <protection locked="0"/>
    </xf>
    <xf numFmtId="164" fontId="9" fillId="0" borderId="77" xfId="1" applyNumberFormat="1" applyFont="1" applyFill="1" applyBorder="1"/>
    <xf numFmtId="164" fontId="8" fillId="0" borderId="84" xfId="1" applyNumberFormat="1" applyFont="1" applyFill="1" applyBorder="1"/>
    <xf numFmtId="164" fontId="0" fillId="0" borderId="77" xfId="1" applyNumberFormat="1" applyFont="1" applyFill="1" applyBorder="1"/>
    <xf numFmtId="164" fontId="8" fillId="0" borderId="77" xfId="1" applyNumberFormat="1" applyFont="1" applyFill="1" applyBorder="1"/>
    <xf numFmtId="164" fontId="9" fillId="0" borderId="77" xfId="1" applyNumberFormat="1" applyFont="1" applyFill="1" applyBorder="1" applyAlignment="1">
      <alignment horizontal="left"/>
    </xf>
    <xf numFmtId="164" fontId="0" fillId="0" borderId="75" xfId="1" applyNumberFormat="1" applyFont="1" applyFill="1" applyBorder="1"/>
    <xf numFmtId="164" fontId="9" fillId="8" borderId="14" xfId="1" applyNumberFormat="1" applyFont="1" applyFill="1" applyBorder="1" applyAlignment="1" applyProtection="1">
      <alignment vertical="center"/>
      <protection locked="0"/>
    </xf>
    <xf numFmtId="164" fontId="9" fillId="8" borderId="81" xfId="1" applyNumberFormat="1" applyFont="1" applyFill="1" applyBorder="1" applyAlignment="1" applyProtection="1">
      <alignment vertical="center"/>
      <protection locked="0"/>
    </xf>
    <xf numFmtId="9" fontId="0" fillId="0" borderId="30" xfId="2" applyFont="1" applyFill="1" applyBorder="1" applyAlignment="1">
      <alignment horizontal="center" vertical="center"/>
    </xf>
    <xf numFmtId="9" fontId="0" fillId="6" borderId="17" xfId="2" applyFont="1" applyFill="1" applyBorder="1" applyAlignment="1">
      <alignment horizontal="center" vertical="center"/>
    </xf>
    <xf numFmtId="9" fontId="0" fillId="6" borderId="15" xfId="0" applyNumberForma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  <xf numFmtId="9" fontId="0" fillId="0" borderId="0" xfId="2" applyFont="1" applyAlignment="1">
      <alignment vertical="center"/>
    </xf>
    <xf numFmtId="2" fontId="0" fillId="0" borderId="0" xfId="0" applyNumberFormat="1" applyAlignment="1">
      <alignment vertical="center"/>
    </xf>
    <xf numFmtId="43" fontId="0" fillId="0" borderId="0" xfId="1" applyFont="1" applyFill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59" xfId="0" applyFont="1" applyBorder="1" applyAlignment="1" applyProtection="1">
      <alignment horizontal="left" vertical="center" wrapText="1"/>
      <protection locked="0"/>
    </xf>
    <xf numFmtId="0" fontId="5" fillId="3" borderId="24" xfId="0" applyFont="1" applyFill="1" applyBorder="1" applyAlignment="1">
      <alignment vertical="center"/>
    </xf>
    <xf numFmtId="0" fontId="0" fillId="3" borderId="23" xfId="0" applyFill="1" applyBorder="1" applyAlignment="1">
      <alignment horizontal="left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/>
    </xf>
    <xf numFmtId="165" fontId="0" fillId="0" borderId="0" xfId="0" applyNumberFormat="1" applyAlignment="1">
      <alignment horizontal="right" vertical="center"/>
    </xf>
    <xf numFmtId="169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5" fontId="0" fillId="0" borderId="0" xfId="0" applyNumberFormat="1" applyFill="1" applyAlignment="1">
      <alignment horizontal="right" vertical="center"/>
    </xf>
    <xf numFmtId="164" fontId="0" fillId="0" borderId="0" xfId="1" applyNumberFormat="1" applyFont="1" applyFill="1" applyAlignment="1">
      <alignment horizontal="right" vertical="center"/>
    </xf>
    <xf numFmtId="10" fontId="0" fillId="3" borderId="0" xfId="2" applyNumberFormat="1" applyFont="1" applyFill="1"/>
    <xf numFmtId="0" fontId="0" fillId="3" borderId="0" xfId="0" applyFill="1" applyAlignment="1">
      <alignment horizontal="right" vertical="center"/>
    </xf>
    <xf numFmtId="0" fontId="18" fillId="3" borderId="62" xfId="0" applyFont="1" applyFill="1" applyBorder="1" applyAlignment="1">
      <alignment horizontal="left"/>
    </xf>
    <xf numFmtId="0" fontId="18" fillId="3" borderId="61" xfId="0" applyFont="1" applyFill="1" applyBorder="1" applyAlignment="1">
      <alignment horizontal="left" wrapText="1"/>
    </xf>
    <xf numFmtId="0" fontId="18" fillId="3" borderId="61" xfId="0" applyFont="1" applyFill="1" applyBorder="1" applyAlignment="1">
      <alignment horizontal="center"/>
    </xf>
    <xf numFmtId="0" fontId="18" fillId="3" borderId="60" xfId="0" applyFont="1" applyFill="1" applyBorder="1" applyAlignment="1">
      <alignment horizontal="center"/>
    </xf>
    <xf numFmtId="0" fontId="5" fillId="3" borderId="27" xfId="0" applyFont="1" applyFill="1" applyBorder="1" applyAlignment="1">
      <alignment vertical="center"/>
    </xf>
    <xf numFmtId="0" fontId="0" fillId="3" borderId="27" xfId="0" applyFill="1" applyBorder="1" applyAlignment="1">
      <alignment horizontal="left" wrapText="1"/>
    </xf>
    <xf numFmtId="0" fontId="5" fillId="3" borderId="27" xfId="0" applyFont="1" applyFill="1" applyBorder="1" applyAlignment="1">
      <alignment horizontal="center"/>
    </xf>
    <xf numFmtId="0" fontId="0" fillId="3" borderId="61" xfId="0" applyFill="1" applyBorder="1"/>
    <xf numFmtId="0" fontId="0" fillId="8" borderId="57" xfId="0" applyFill="1" applyBorder="1" applyAlignment="1" applyProtection="1">
      <alignment horizontal="center" vertical="center" wrapText="1"/>
      <protection locked="0"/>
    </xf>
    <xf numFmtId="0" fontId="0" fillId="8" borderId="55" xfId="0" applyFill="1" applyBorder="1" applyAlignment="1" applyProtection="1">
      <alignment horizontal="center" vertical="center" wrapText="1"/>
      <protection locked="0"/>
    </xf>
    <xf numFmtId="0" fontId="0" fillId="8" borderId="54" xfId="0" applyFill="1" applyBorder="1" applyAlignment="1" applyProtection="1">
      <alignment horizontal="center" vertical="center" wrapText="1"/>
      <protection locked="0"/>
    </xf>
    <xf numFmtId="0" fontId="0" fillId="8" borderId="53" xfId="0" applyFill="1" applyBorder="1" applyAlignment="1" applyProtection="1">
      <alignment horizontal="center" vertical="center" wrapText="1"/>
      <protection locked="0"/>
    </xf>
    <xf numFmtId="9" fontId="5" fillId="0" borderId="0" xfId="0" applyNumberFormat="1" applyFont="1" applyBorder="1"/>
    <xf numFmtId="0" fontId="5" fillId="3" borderId="0" xfId="0" applyFont="1" applyFill="1" applyBorder="1" applyAlignment="1">
      <alignment horizontal="center" vertical="center" wrapText="1"/>
    </xf>
    <xf numFmtId="170" fontId="0" fillId="0" borderId="0" xfId="1" applyNumberFormat="1" applyFont="1" applyBorder="1"/>
    <xf numFmtId="170" fontId="0" fillId="0" borderId="0" xfId="1" applyNumberFormat="1" applyFont="1"/>
    <xf numFmtId="43" fontId="0" fillId="0" borderId="22" xfId="0" applyNumberFormat="1" applyFill="1" applyBorder="1" applyProtection="1"/>
    <xf numFmtId="0" fontId="28" fillId="0" borderId="0" xfId="0" applyFont="1"/>
    <xf numFmtId="0" fontId="5" fillId="9" borderId="24" xfId="0" applyFont="1" applyFill="1" applyBorder="1" applyAlignment="1">
      <alignment vertical="center"/>
    </xf>
    <xf numFmtId="0" fontId="1" fillId="9" borderId="22" xfId="0" applyFont="1" applyFill="1" applyBorder="1" applyAlignment="1">
      <alignment vertical="center"/>
    </xf>
    <xf numFmtId="0" fontId="1" fillId="9" borderId="24" xfId="0" applyFont="1" applyFill="1" applyBorder="1" applyAlignment="1">
      <alignment vertical="center"/>
    </xf>
    <xf numFmtId="0" fontId="5" fillId="9" borderId="24" xfId="0" applyFont="1" applyFill="1" applyBorder="1" applyAlignment="1"/>
    <xf numFmtId="0" fontId="1" fillId="9" borderId="24" xfId="0" applyFont="1" applyFill="1" applyBorder="1" applyAlignment="1"/>
    <xf numFmtId="0" fontId="1" fillId="9" borderId="22" xfId="0" applyFont="1" applyFill="1" applyBorder="1" applyAlignment="1"/>
    <xf numFmtId="0" fontId="1" fillId="10" borderId="24" xfId="0" applyFont="1" applyFill="1" applyBorder="1" applyAlignment="1">
      <alignment vertical="center"/>
    </xf>
    <xf numFmtId="0" fontId="6" fillId="10" borderId="23" xfId="0" applyFont="1" applyFill="1" applyBorder="1" applyAlignment="1">
      <alignment vertical="center"/>
    </xf>
    <xf numFmtId="164" fontId="6" fillId="10" borderId="22" xfId="1" applyNumberFormat="1" applyFont="1" applyFill="1" applyBorder="1" applyAlignment="1">
      <alignment vertical="center"/>
    </xf>
    <xf numFmtId="0" fontId="1" fillId="11" borderId="24" xfId="0" applyFont="1" applyFill="1" applyBorder="1" applyAlignment="1">
      <alignment vertical="center"/>
    </xf>
    <xf numFmtId="0" fontId="1" fillId="11" borderId="23" xfId="0" applyFont="1" applyFill="1" applyBorder="1" applyAlignment="1">
      <alignment vertical="center"/>
    </xf>
    <xf numFmtId="0" fontId="6" fillId="11" borderId="23" xfId="0" applyFont="1" applyFill="1" applyBorder="1" applyAlignment="1">
      <alignment vertical="center"/>
    </xf>
    <xf numFmtId="164" fontId="1" fillId="11" borderId="22" xfId="1" applyNumberFormat="1" applyFont="1" applyFill="1" applyBorder="1" applyAlignment="1">
      <alignment vertical="center"/>
    </xf>
    <xf numFmtId="0" fontId="6" fillId="11" borderId="23" xfId="0" applyFont="1" applyFill="1" applyBorder="1" applyAlignment="1">
      <alignment horizontal="center" vertical="center"/>
    </xf>
    <xf numFmtId="0" fontId="6" fillId="11" borderId="22" xfId="0" applyFont="1" applyFill="1" applyBorder="1" applyAlignment="1">
      <alignment vertical="center"/>
    </xf>
    <xf numFmtId="164" fontId="1" fillId="11" borderId="8" xfId="1" applyNumberFormat="1" applyFont="1" applyFill="1" applyBorder="1" applyAlignment="1">
      <alignment vertical="center"/>
    </xf>
    <xf numFmtId="0" fontId="1" fillId="11" borderId="24" xfId="0" applyFont="1" applyFill="1" applyBorder="1" applyAlignment="1"/>
    <xf numFmtId="0" fontId="1" fillId="11" borderId="23" xfId="0" applyFont="1" applyFill="1" applyBorder="1" applyAlignment="1">
      <alignment horizontal="center"/>
    </xf>
    <xf numFmtId="0" fontId="1" fillId="11" borderId="22" xfId="0" applyFont="1" applyFill="1" applyBorder="1" applyAlignment="1">
      <alignment horizontal="center"/>
    </xf>
    <xf numFmtId="0" fontId="1" fillId="10" borderId="23" xfId="0" applyFont="1" applyFill="1" applyBorder="1" applyAlignment="1">
      <alignment vertical="center"/>
    </xf>
    <xf numFmtId="164" fontId="1" fillId="10" borderId="22" xfId="1" applyNumberFormat="1" applyFont="1" applyFill="1" applyBorder="1" applyAlignment="1">
      <alignment vertical="center"/>
    </xf>
    <xf numFmtId="0" fontId="1" fillId="9" borderId="23" xfId="0" applyFont="1" applyFill="1" applyBorder="1" applyAlignment="1">
      <alignment vertical="center"/>
    </xf>
    <xf numFmtId="164" fontId="1" fillId="9" borderId="22" xfId="1" applyNumberFormat="1" applyFont="1" applyFill="1" applyBorder="1" applyAlignment="1">
      <alignment vertical="center"/>
    </xf>
    <xf numFmtId="0" fontId="1" fillId="9" borderId="23" xfId="0" applyFont="1" applyFill="1" applyBorder="1" applyAlignment="1">
      <alignment horizontal="center" vertical="center"/>
    </xf>
    <xf numFmtId="0" fontId="8" fillId="12" borderId="24" xfId="0" applyFont="1" applyFill="1" applyBorder="1" applyAlignment="1">
      <alignment vertical="center"/>
    </xf>
    <xf numFmtId="0" fontId="9" fillId="12" borderId="23" xfId="0" applyFont="1" applyFill="1" applyBorder="1" applyAlignment="1">
      <alignment horizontal="center" vertical="center"/>
    </xf>
    <xf numFmtId="164" fontId="8" fillId="12" borderId="22" xfId="1" applyNumberFormat="1" applyFont="1" applyFill="1" applyBorder="1" applyAlignment="1">
      <alignment vertical="center"/>
    </xf>
    <xf numFmtId="0" fontId="8" fillId="12" borderId="41" xfId="0" applyFont="1" applyFill="1" applyBorder="1" applyAlignment="1">
      <alignment vertical="center"/>
    </xf>
    <xf numFmtId="9" fontId="8" fillId="12" borderId="41" xfId="2" applyFont="1" applyFill="1" applyBorder="1" applyAlignment="1">
      <alignment horizontal="center" vertical="center"/>
    </xf>
    <xf numFmtId="164" fontId="8" fillId="12" borderId="41" xfId="1" applyNumberFormat="1" applyFont="1" applyFill="1" applyBorder="1" applyAlignment="1">
      <alignment vertical="center"/>
    </xf>
    <xf numFmtId="0" fontId="9" fillId="12" borderId="23" xfId="0" applyFont="1" applyFill="1" applyBorder="1" applyAlignment="1">
      <alignment vertical="center"/>
    </xf>
    <xf numFmtId="164" fontId="8" fillId="12" borderId="8" xfId="1" applyNumberFormat="1" applyFont="1" applyFill="1" applyBorder="1" applyAlignment="1">
      <alignment vertical="center"/>
    </xf>
    <xf numFmtId="0" fontId="1" fillId="9" borderId="25" xfId="0" applyFont="1" applyFill="1" applyBorder="1"/>
    <xf numFmtId="0" fontId="6" fillId="9" borderId="0" xfId="0" applyFont="1" applyFill="1" applyBorder="1"/>
    <xf numFmtId="0" fontId="6" fillId="9" borderId="15" xfId="0" applyFont="1" applyFill="1" applyBorder="1" applyAlignment="1">
      <alignment horizontal="right"/>
    </xf>
    <xf numFmtId="0" fontId="1" fillId="9" borderId="24" xfId="0" applyFont="1" applyFill="1" applyBorder="1"/>
    <xf numFmtId="0" fontId="6" fillId="9" borderId="23" xfId="0" applyFont="1" applyFill="1" applyBorder="1" applyAlignment="1">
      <alignment horizontal="center"/>
    </xf>
    <xf numFmtId="0" fontId="6" fillId="9" borderId="22" xfId="0" applyFont="1" applyFill="1" applyBorder="1" applyAlignment="1">
      <alignment horizontal="right"/>
    </xf>
    <xf numFmtId="0" fontId="1" fillId="10" borderId="8" xfId="0" applyFont="1" applyFill="1" applyBorder="1"/>
    <xf numFmtId="3" fontId="1" fillId="10" borderId="45" xfId="0" applyNumberFormat="1" applyFont="1" applyFill="1" applyBorder="1" applyAlignment="1">
      <alignment horizontal="center"/>
    </xf>
    <xf numFmtId="3" fontId="1" fillId="10" borderId="44" xfId="0" applyNumberFormat="1" applyFont="1" applyFill="1" applyBorder="1" applyAlignment="1">
      <alignment horizontal="center"/>
    </xf>
    <xf numFmtId="3" fontId="1" fillId="10" borderId="43" xfId="0" applyNumberFormat="1" applyFont="1" applyFill="1" applyBorder="1" applyAlignment="1">
      <alignment horizontal="center"/>
    </xf>
    <xf numFmtId="3" fontId="1" fillId="10" borderId="8" xfId="0" applyNumberFormat="1" applyFont="1" applyFill="1" applyBorder="1" applyAlignment="1">
      <alignment horizontal="right"/>
    </xf>
    <xf numFmtId="0" fontId="1" fillId="10" borderId="23" xfId="0" applyFont="1" applyFill="1" applyBorder="1" applyAlignment="1">
      <alignment horizontal="center" vertical="center"/>
    </xf>
    <xf numFmtId="3" fontId="1" fillId="10" borderId="22" xfId="0" applyNumberFormat="1" applyFont="1" applyFill="1" applyBorder="1" applyAlignment="1">
      <alignment horizontal="right" vertical="center"/>
    </xf>
    <xf numFmtId="3" fontId="1" fillId="11" borderId="22" xfId="0" applyNumberFormat="1" applyFont="1" applyFill="1" applyBorder="1" applyAlignment="1">
      <alignment horizontal="right" vertical="center"/>
    </xf>
    <xf numFmtId="0" fontId="14" fillId="12" borderId="8" xfId="0" applyFont="1" applyFill="1" applyBorder="1"/>
    <xf numFmtId="3" fontId="14" fillId="12" borderId="45" xfId="0" applyNumberFormat="1" applyFont="1" applyFill="1" applyBorder="1" applyAlignment="1">
      <alignment horizontal="center"/>
    </xf>
    <xf numFmtId="3" fontId="14" fillId="12" borderId="44" xfId="0" applyNumberFormat="1" applyFont="1" applyFill="1" applyBorder="1" applyAlignment="1">
      <alignment horizontal="center"/>
    </xf>
    <xf numFmtId="3" fontId="14" fillId="12" borderId="43" xfId="0" applyNumberFormat="1" applyFont="1" applyFill="1" applyBorder="1" applyAlignment="1">
      <alignment horizontal="center"/>
    </xf>
    <xf numFmtId="3" fontId="14" fillId="12" borderId="8" xfId="0" applyNumberFormat="1" applyFont="1" applyFill="1" applyBorder="1" applyAlignment="1">
      <alignment horizontal="right"/>
    </xf>
    <xf numFmtId="0" fontId="1" fillId="9" borderId="23" xfId="0" applyFont="1" applyFill="1" applyBorder="1"/>
    <xf numFmtId="43" fontId="1" fillId="9" borderId="22" xfId="0" applyNumberFormat="1" applyFont="1" applyFill="1" applyBorder="1"/>
    <xf numFmtId="0" fontId="1" fillId="9" borderId="28" xfId="0" applyFont="1" applyFill="1" applyBorder="1" applyAlignment="1">
      <alignment vertical="center"/>
    </xf>
    <xf numFmtId="0" fontId="9" fillId="9" borderId="27" xfId="0" applyFont="1" applyFill="1" applyBorder="1" applyAlignment="1">
      <alignment vertical="center"/>
    </xf>
    <xf numFmtId="0" fontId="9" fillId="9" borderId="41" xfId="0" applyFont="1" applyFill="1" applyBorder="1" applyAlignment="1">
      <alignment vertical="center"/>
    </xf>
    <xf numFmtId="9" fontId="1" fillId="9" borderId="11" xfId="2" applyFont="1" applyFill="1" applyBorder="1" applyAlignment="1">
      <alignment horizontal="center" vertical="center"/>
    </xf>
    <xf numFmtId="164" fontId="1" fillId="9" borderId="11" xfId="1" applyNumberFormat="1" applyFont="1" applyFill="1" applyBorder="1" applyAlignment="1">
      <alignment vertical="center"/>
    </xf>
    <xf numFmtId="0" fontId="1" fillId="9" borderId="25" xfId="0" applyFont="1" applyFill="1" applyBorder="1" applyAlignment="1">
      <alignment horizontal="left"/>
    </xf>
    <xf numFmtId="0" fontId="1" fillId="9" borderId="27" xfId="0" applyFont="1" applyFill="1" applyBorder="1" applyAlignment="1">
      <alignment horizontal="left"/>
    </xf>
    <xf numFmtId="0" fontId="1" fillId="9" borderId="0" xfId="0" applyFont="1" applyFill="1" applyBorder="1" applyAlignment="1">
      <alignment horizontal="left"/>
    </xf>
    <xf numFmtId="0" fontId="1" fillId="9" borderId="15" xfId="0" applyFont="1" applyFill="1" applyBorder="1" applyAlignment="1">
      <alignment horizontal="left"/>
    </xf>
    <xf numFmtId="0" fontId="6" fillId="9" borderId="15" xfId="0" applyFont="1" applyFill="1" applyBorder="1"/>
    <xf numFmtId="0" fontId="1" fillId="10" borderId="40" xfId="0" applyFont="1" applyFill="1" applyBorder="1" applyAlignment="1">
      <alignment vertical="center"/>
    </xf>
    <xf numFmtId="0" fontId="6" fillId="10" borderId="35" xfId="0" applyFont="1" applyFill="1" applyBorder="1" applyAlignment="1">
      <alignment vertical="center"/>
    </xf>
    <xf numFmtId="43" fontId="1" fillId="10" borderId="42" xfId="1" applyNumberFormat="1" applyFont="1" applyFill="1" applyBorder="1" applyAlignment="1">
      <alignment vertical="center"/>
    </xf>
    <xf numFmtId="0" fontId="8" fillId="12" borderId="25" xfId="0" applyFont="1" applyFill="1" applyBorder="1" applyAlignment="1">
      <alignment horizontal="left" vertical="center"/>
    </xf>
    <xf numFmtId="0" fontId="8" fillId="12" borderId="0" xfId="0" applyFont="1" applyFill="1" applyBorder="1" applyAlignment="1">
      <alignment horizontal="left" vertical="center"/>
    </xf>
    <xf numFmtId="0" fontId="8" fillId="12" borderId="8" xfId="0" applyFont="1" applyFill="1" applyBorder="1" applyAlignment="1">
      <alignment horizontal="center" vertical="center" wrapText="1"/>
    </xf>
    <xf numFmtId="43" fontId="8" fillId="12" borderId="8" xfId="1" applyNumberFormat="1" applyFont="1" applyFill="1" applyBorder="1" applyAlignment="1">
      <alignment horizontal="center" vertical="center" wrapText="1"/>
    </xf>
    <xf numFmtId="0" fontId="9" fillId="12" borderId="22" xfId="0" applyFont="1" applyFill="1" applyBorder="1" applyAlignment="1">
      <alignment vertical="center"/>
    </xf>
    <xf numFmtId="9" fontId="8" fillId="12" borderId="8" xfId="2" applyFont="1" applyFill="1" applyBorder="1" applyAlignment="1">
      <alignment horizontal="center" vertical="center"/>
    </xf>
    <xf numFmtId="0" fontId="5" fillId="12" borderId="24" xfId="0" applyFont="1" applyFill="1" applyBorder="1"/>
    <xf numFmtId="0" fontId="0" fillId="12" borderId="23" xfId="0" applyFill="1" applyBorder="1"/>
    <xf numFmtId="0" fontId="0" fillId="12" borderId="22" xfId="0" applyFill="1" applyBorder="1"/>
    <xf numFmtId="0" fontId="0" fillId="0" borderId="0" xfId="0" applyFill="1" applyBorder="1" applyAlignment="1">
      <alignment horizontal="left" wrapText="1"/>
    </xf>
    <xf numFmtId="0" fontId="0" fillId="8" borderId="0" xfId="0" applyFill="1" applyBorder="1" applyAlignment="1">
      <alignment vertical="center" wrapText="1"/>
    </xf>
    <xf numFmtId="0" fontId="0" fillId="8" borderId="15" xfId="0" applyFill="1" applyBorder="1" applyAlignment="1">
      <alignment vertical="center" wrapText="1"/>
    </xf>
    <xf numFmtId="0" fontId="0" fillId="8" borderId="13" xfId="0" applyFill="1" applyBorder="1" applyAlignment="1">
      <alignment vertical="center" wrapText="1"/>
    </xf>
    <xf numFmtId="0" fontId="0" fillId="8" borderId="12" xfId="0" applyFill="1" applyBorder="1" applyAlignment="1">
      <alignment vertical="center" wrapText="1"/>
    </xf>
    <xf numFmtId="0" fontId="0" fillId="8" borderId="10" xfId="0" applyFill="1" applyBorder="1" applyAlignment="1">
      <alignment vertical="center" wrapText="1"/>
    </xf>
    <xf numFmtId="0" fontId="0" fillId="8" borderId="9" xfId="0" applyFill="1" applyBorder="1" applyAlignment="1">
      <alignment vertical="center" wrapText="1"/>
    </xf>
    <xf numFmtId="0" fontId="13" fillId="6" borderId="70" xfId="0" quotePrefix="1" applyFont="1" applyFill="1" applyBorder="1" applyAlignment="1">
      <alignment horizontal="left" vertical="center"/>
    </xf>
    <xf numFmtId="0" fontId="13" fillId="6" borderId="71" xfId="0" quotePrefix="1" applyFont="1" applyFill="1" applyBorder="1" applyAlignment="1">
      <alignment horizontal="left" vertical="center"/>
    </xf>
    <xf numFmtId="0" fontId="13" fillId="6" borderId="72" xfId="0" quotePrefix="1" applyFont="1" applyFill="1" applyBorder="1" applyAlignment="1">
      <alignment horizontal="left" vertical="center"/>
    </xf>
    <xf numFmtId="0" fontId="13" fillId="6" borderId="73" xfId="0" quotePrefix="1" applyFont="1" applyFill="1" applyBorder="1" applyAlignment="1">
      <alignment horizontal="left" vertical="center"/>
    </xf>
    <xf numFmtId="0" fontId="13" fillId="6" borderId="74" xfId="0" quotePrefix="1" applyFont="1" applyFill="1" applyBorder="1" applyAlignment="1">
      <alignment horizontal="left" vertical="center"/>
    </xf>
    <xf numFmtId="0" fontId="13" fillId="6" borderId="75" xfId="0" quotePrefix="1" applyFont="1" applyFill="1" applyBorder="1" applyAlignment="1">
      <alignment horizontal="left" vertical="center"/>
    </xf>
    <xf numFmtId="0" fontId="0" fillId="8" borderId="18" xfId="0" applyFill="1" applyBorder="1" applyAlignment="1">
      <alignment vertical="center" wrapText="1"/>
    </xf>
    <xf numFmtId="0" fontId="0" fillId="8" borderId="17" xfId="0" applyFill="1" applyBorder="1" applyAlignment="1">
      <alignment vertical="center" wrapText="1"/>
    </xf>
    <xf numFmtId="0" fontId="29" fillId="10" borderId="24" xfId="3" applyFont="1" applyFill="1" applyBorder="1" applyAlignment="1" applyProtection="1">
      <alignment horizontal="left" vertical="center"/>
    </xf>
    <xf numFmtId="0" fontId="29" fillId="10" borderId="23" xfId="3" applyFont="1" applyFill="1" applyBorder="1" applyAlignment="1" applyProtection="1">
      <alignment horizontal="left" vertical="center"/>
    </xf>
    <xf numFmtId="0" fontId="1" fillId="9" borderId="24" xfId="0" applyFont="1" applyFill="1" applyBorder="1" applyAlignment="1">
      <alignment horizontal="right" vertical="center" wrapText="1"/>
    </xf>
    <xf numFmtId="0" fontId="1" fillId="9" borderId="23" xfId="0" applyFont="1" applyFill="1" applyBorder="1" applyAlignment="1">
      <alignment horizontal="right" vertical="center" wrapText="1"/>
    </xf>
    <xf numFmtId="0" fontId="1" fillId="9" borderId="28" xfId="0" applyFont="1" applyFill="1" applyBorder="1" applyAlignment="1">
      <alignment horizontal="right" vertical="center"/>
    </xf>
    <xf numFmtId="0" fontId="1" fillId="9" borderId="41" xfId="0" applyFont="1" applyFill="1" applyBorder="1" applyAlignment="1">
      <alignment horizontal="right" vertical="center"/>
    </xf>
    <xf numFmtId="0" fontId="9" fillId="8" borderId="28" xfId="0" applyFont="1" applyFill="1" applyBorder="1" applyAlignment="1" applyProtection="1">
      <alignment horizontal="left" vertical="center"/>
      <protection locked="0"/>
    </xf>
    <xf numFmtId="0" fontId="9" fillId="8" borderId="27" xfId="0" applyFont="1" applyFill="1" applyBorder="1" applyAlignment="1" applyProtection="1">
      <alignment horizontal="left" vertical="center"/>
      <protection locked="0"/>
    </xf>
    <xf numFmtId="0" fontId="9" fillId="8" borderId="41" xfId="0" applyFont="1" applyFill="1" applyBorder="1" applyAlignment="1" applyProtection="1">
      <alignment horizontal="left" vertical="center"/>
      <protection locked="0"/>
    </xf>
    <xf numFmtId="0" fontId="1" fillId="9" borderId="24" xfId="0" applyFont="1" applyFill="1" applyBorder="1" applyAlignment="1">
      <alignment horizontal="right" vertical="center"/>
    </xf>
    <xf numFmtId="0" fontId="1" fillId="9" borderId="22" xfId="0" applyFont="1" applyFill="1" applyBorder="1" applyAlignment="1">
      <alignment horizontal="right" vertical="center"/>
    </xf>
    <xf numFmtId="0" fontId="9" fillId="8" borderId="24" xfId="0" applyFont="1" applyFill="1" applyBorder="1" applyAlignment="1" applyProtection="1">
      <alignment horizontal="left" vertical="center"/>
      <protection locked="0"/>
    </xf>
    <xf numFmtId="0" fontId="9" fillId="8" borderId="23" xfId="0" applyFont="1" applyFill="1" applyBorder="1" applyAlignment="1" applyProtection="1">
      <alignment horizontal="left" vertical="center"/>
      <protection locked="0"/>
    </xf>
    <xf numFmtId="0" fontId="9" fillId="8" borderId="22" xfId="0" applyFont="1" applyFill="1" applyBorder="1" applyAlignment="1" applyProtection="1">
      <alignment horizontal="left" vertical="center"/>
      <protection locked="0"/>
    </xf>
    <xf numFmtId="0" fontId="1" fillId="9" borderId="22" xfId="0" applyFont="1" applyFill="1" applyBorder="1" applyAlignment="1">
      <alignment horizontal="right" vertical="center" wrapText="1"/>
    </xf>
    <xf numFmtId="0" fontId="9" fillId="8" borderId="24" xfId="0" applyFont="1" applyFill="1" applyBorder="1" applyAlignment="1" applyProtection="1">
      <alignment horizontal="left" vertical="center" wrapText="1"/>
      <protection locked="0"/>
    </xf>
    <xf numFmtId="0" fontId="9" fillId="8" borderId="23" xfId="0" applyFont="1" applyFill="1" applyBorder="1" applyAlignment="1" applyProtection="1">
      <alignment horizontal="left" vertical="center" wrapText="1"/>
      <protection locked="0"/>
    </xf>
    <xf numFmtId="0" fontId="9" fillId="8" borderId="22" xfId="0" applyFont="1" applyFill="1" applyBorder="1" applyAlignment="1" applyProtection="1">
      <alignment horizontal="left" vertical="center" wrapText="1"/>
      <protection locked="0"/>
    </xf>
    <xf numFmtId="43" fontId="9" fillId="3" borderId="34" xfId="1" applyFont="1" applyFill="1" applyBorder="1" applyAlignment="1">
      <alignment horizontal="center" vertical="center"/>
    </xf>
    <xf numFmtId="43" fontId="9" fillId="3" borderId="11" xfId="1" applyFont="1" applyFill="1" applyBorder="1" applyAlignment="1">
      <alignment horizontal="center" vertical="center"/>
    </xf>
    <xf numFmtId="0" fontId="8" fillId="8" borderId="24" xfId="0" applyFont="1" applyFill="1" applyBorder="1" applyAlignment="1" applyProtection="1">
      <alignment horizontal="left" vertical="center" wrapText="1"/>
      <protection locked="0"/>
    </xf>
    <xf numFmtId="0" fontId="8" fillId="8" borderId="23" xfId="0" applyFont="1" applyFill="1" applyBorder="1" applyAlignment="1" applyProtection="1">
      <alignment horizontal="left" vertical="center" wrapText="1"/>
      <protection locked="0"/>
    </xf>
    <xf numFmtId="0" fontId="8" fillId="8" borderId="22" xfId="0" applyFont="1" applyFill="1" applyBorder="1" applyAlignment="1" applyProtection="1">
      <alignment horizontal="left" vertical="center" wrapText="1"/>
      <protection locked="0"/>
    </xf>
    <xf numFmtId="49" fontId="8" fillId="8" borderId="24" xfId="0" applyNumberFormat="1" applyFont="1" applyFill="1" applyBorder="1" applyAlignment="1" applyProtection="1">
      <alignment horizontal="left" vertical="center" wrapText="1"/>
      <protection locked="0"/>
    </xf>
    <xf numFmtId="49" fontId="8" fillId="8" borderId="23" xfId="0" applyNumberFormat="1" applyFont="1" applyFill="1" applyBorder="1" applyAlignment="1" applyProtection="1">
      <alignment horizontal="left" vertical="center" wrapText="1"/>
      <protection locked="0"/>
    </xf>
    <xf numFmtId="49" fontId="8" fillId="8" borderId="2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24" xfId="0" applyFont="1" applyFill="1" applyBorder="1" applyAlignment="1" applyProtection="1">
      <alignment horizontal="left" vertical="center" wrapText="1"/>
    </xf>
    <xf numFmtId="0" fontId="8" fillId="0" borderId="23" xfId="0" applyFont="1" applyFill="1" applyBorder="1" applyAlignment="1" applyProtection="1">
      <alignment horizontal="left" vertical="center" wrapText="1"/>
    </xf>
    <xf numFmtId="0" fontId="8" fillId="0" borderId="22" xfId="0" applyFont="1" applyFill="1" applyBorder="1" applyAlignment="1" applyProtection="1">
      <alignment horizontal="left" vertical="center" wrapText="1"/>
    </xf>
    <xf numFmtId="0" fontId="0" fillId="0" borderId="40" xfId="0" applyFill="1" applyBorder="1" applyAlignment="1">
      <alignment vertical="center" wrapText="1"/>
    </xf>
    <xf numFmtId="0" fontId="0" fillId="0" borderId="35" xfId="0" applyFill="1" applyBorder="1" applyAlignment="1">
      <alignment vertical="center" wrapText="1"/>
    </xf>
    <xf numFmtId="0" fontId="0" fillId="0" borderId="42" xfId="0" applyFill="1" applyBorder="1" applyAlignment="1">
      <alignment vertical="center" wrapText="1"/>
    </xf>
    <xf numFmtId="0" fontId="8" fillId="12" borderId="24" xfId="0" applyFont="1" applyFill="1" applyBorder="1" applyAlignment="1">
      <alignment horizontal="left"/>
    </xf>
    <xf numFmtId="0" fontId="8" fillId="12" borderId="23" xfId="0" applyFont="1" applyFill="1" applyBorder="1" applyAlignment="1">
      <alignment horizontal="left"/>
    </xf>
    <xf numFmtId="0" fontId="8" fillId="12" borderId="22" xfId="0" applyFont="1" applyFill="1" applyBorder="1" applyAlignment="1">
      <alignment horizontal="left"/>
    </xf>
    <xf numFmtId="0" fontId="0" fillId="8" borderId="20" xfId="0" applyFill="1" applyBorder="1" applyAlignment="1">
      <alignment vertical="center" wrapText="1"/>
    </xf>
    <xf numFmtId="0" fontId="0" fillId="8" borderId="19" xfId="0" applyFill="1" applyBorder="1" applyAlignment="1">
      <alignment vertical="center" wrapText="1"/>
    </xf>
    <xf numFmtId="0" fontId="0" fillId="8" borderId="40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21" fillId="0" borderId="62" xfId="0" applyFont="1" applyFill="1" applyBorder="1" applyAlignment="1">
      <alignment horizontal="center" vertical="top" wrapText="1"/>
    </xf>
    <xf numFmtId="0" fontId="21" fillId="0" borderId="61" xfId="0" applyFont="1" applyFill="1" applyBorder="1" applyAlignment="1">
      <alignment horizontal="center" vertical="top"/>
    </xf>
    <xf numFmtId="0" fontId="21" fillId="0" borderId="60" xfId="0" applyFont="1" applyFill="1" applyBorder="1" applyAlignment="1">
      <alignment horizontal="center" vertical="top"/>
    </xf>
    <xf numFmtId="0" fontId="5" fillId="0" borderId="62" xfId="0" applyFont="1" applyFill="1" applyBorder="1" applyAlignment="1">
      <alignment horizontal="center" vertical="top" wrapText="1"/>
    </xf>
    <xf numFmtId="0" fontId="17" fillId="0" borderId="62" xfId="0" applyFont="1" applyFill="1" applyBorder="1" applyAlignment="1">
      <alignment horizontal="left" vertical="center"/>
    </xf>
    <xf numFmtId="0" fontId="0" fillId="0" borderId="61" xfId="0" applyFont="1" applyFill="1" applyBorder="1" applyAlignment="1">
      <alignment horizontal="left" vertical="center"/>
    </xf>
    <xf numFmtId="164" fontId="0" fillId="0" borderId="61" xfId="1" applyNumberFormat="1" applyFont="1" applyFill="1" applyBorder="1" applyAlignment="1">
      <alignment horizontal="left" vertical="center"/>
    </xf>
    <xf numFmtId="164" fontId="0" fillId="0" borderId="60" xfId="1" applyNumberFormat="1" applyFont="1" applyFill="1" applyBorder="1" applyAlignment="1">
      <alignment horizontal="left" vertical="center"/>
    </xf>
    <xf numFmtId="0" fontId="22" fillId="10" borderId="62" xfId="0" applyFont="1" applyFill="1" applyBorder="1" applyAlignment="1">
      <alignment horizontal="center" vertical="center"/>
    </xf>
    <xf numFmtId="0" fontId="22" fillId="10" borderId="61" xfId="0" applyFont="1" applyFill="1" applyBorder="1" applyAlignment="1">
      <alignment horizontal="center" vertical="center"/>
    </xf>
    <xf numFmtId="0" fontId="22" fillId="10" borderId="60" xfId="0" applyFont="1" applyFill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2" xfId="0" applyBorder="1" applyAlignment="1">
      <alignment horizontal="left"/>
    </xf>
    <xf numFmtId="9" fontId="9" fillId="0" borderId="34" xfId="2" applyFont="1" applyFill="1" applyBorder="1" applyAlignment="1">
      <alignment horizontal="center" vertical="center"/>
    </xf>
    <xf numFmtId="9" fontId="9" fillId="0" borderId="11" xfId="2" applyFont="1" applyFill="1" applyBorder="1" applyAlignment="1">
      <alignment horizontal="center" vertical="center"/>
    </xf>
    <xf numFmtId="0" fontId="1" fillId="11" borderId="24" xfId="0" applyFont="1" applyFill="1" applyBorder="1" applyAlignment="1">
      <alignment horizontal="left" vertical="center"/>
    </xf>
    <xf numFmtId="0" fontId="1" fillId="11" borderId="23" xfId="0" applyFont="1" applyFill="1" applyBorder="1" applyAlignment="1">
      <alignment horizontal="left" vertical="center"/>
    </xf>
    <xf numFmtId="0" fontId="1" fillId="11" borderId="22" xfId="0" applyFont="1" applyFill="1" applyBorder="1" applyAlignment="1">
      <alignment horizontal="left" vertical="center"/>
    </xf>
    <xf numFmtId="0" fontId="9" fillId="0" borderId="40" xfId="0" applyFont="1" applyFill="1" applyBorder="1" applyAlignment="1">
      <alignment horizontal="left" vertical="top" wrapText="1"/>
    </xf>
    <xf numFmtId="0" fontId="9" fillId="0" borderId="35" xfId="0" applyFont="1" applyFill="1" applyBorder="1" applyAlignment="1">
      <alignment horizontal="left" vertical="top" wrapText="1"/>
    </xf>
    <xf numFmtId="164" fontId="9" fillId="0" borderId="34" xfId="1" applyNumberFormat="1" applyFont="1" applyFill="1" applyBorder="1" applyAlignment="1">
      <alignment horizontal="center" vertical="center"/>
    </xf>
    <xf numFmtId="164" fontId="9" fillId="0" borderId="11" xfId="1" applyNumberFormat="1" applyFont="1" applyFill="1" applyBorder="1" applyAlignment="1">
      <alignment horizontal="center" vertical="center"/>
    </xf>
    <xf numFmtId="9" fontId="9" fillId="8" borderId="34" xfId="2" applyFont="1" applyFill="1" applyBorder="1" applyAlignment="1" applyProtection="1">
      <alignment horizontal="center" vertical="center"/>
      <protection locked="0"/>
    </xf>
    <xf numFmtId="9" fontId="9" fillId="8" borderId="11" xfId="2" applyFont="1" applyFill="1" applyBorder="1" applyAlignment="1" applyProtection="1">
      <alignment horizontal="center" vertical="center"/>
      <protection locked="0"/>
    </xf>
    <xf numFmtId="0" fontId="5" fillId="12" borderId="24" xfId="0" applyFont="1" applyFill="1" applyBorder="1" applyAlignment="1">
      <alignment horizontal="left"/>
    </xf>
    <xf numFmtId="0" fontId="5" fillId="12" borderId="23" xfId="0" applyFont="1" applyFill="1" applyBorder="1" applyAlignment="1">
      <alignment horizontal="left"/>
    </xf>
    <xf numFmtId="0" fontId="5" fillId="12" borderId="22" xfId="0" applyFont="1" applyFill="1" applyBorder="1" applyAlignment="1">
      <alignment horizontal="left"/>
    </xf>
    <xf numFmtId="0" fontId="0" fillId="0" borderId="24" xfId="0" applyBorder="1" applyAlignment="1" applyProtection="1">
      <alignment horizontal="left"/>
    </xf>
    <xf numFmtId="0" fontId="0" fillId="0" borderId="23" xfId="0" applyBorder="1" applyAlignment="1" applyProtection="1">
      <alignment horizontal="left"/>
    </xf>
    <xf numFmtId="0" fontId="0" fillId="0" borderId="22" xfId="0" applyBorder="1" applyAlignment="1" applyProtection="1">
      <alignment horizontal="left"/>
    </xf>
    <xf numFmtId="0" fontId="0" fillId="8" borderId="25" xfId="0" applyFill="1" applyBorder="1" applyAlignment="1" applyProtection="1">
      <alignment horizontal="left"/>
      <protection locked="0"/>
    </xf>
    <xf numFmtId="0" fontId="0" fillId="8" borderId="0" xfId="0" applyFill="1" applyBorder="1" applyAlignment="1" applyProtection="1">
      <alignment horizontal="left"/>
      <protection locked="0"/>
    </xf>
    <xf numFmtId="0" fontId="0" fillId="8" borderId="15" xfId="0" applyFill="1" applyBorder="1" applyAlignment="1" applyProtection="1">
      <alignment horizontal="left"/>
      <protection locked="0"/>
    </xf>
    <xf numFmtId="0" fontId="13" fillId="6" borderId="76" xfId="0" quotePrefix="1" applyFont="1" applyFill="1" applyBorder="1" applyAlignment="1">
      <alignment horizontal="left" vertical="center"/>
    </xf>
    <xf numFmtId="0" fontId="13" fillId="6" borderId="0" xfId="0" quotePrefix="1" applyFont="1" applyFill="1" applyBorder="1" applyAlignment="1">
      <alignment horizontal="left" vertical="center"/>
    </xf>
    <xf numFmtId="0" fontId="1" fillId="10" borderId="24" xfId="0" applyFont="1" applyFill="1" applyBorder="1" applyAlignment="1">
      <alignment horizontal="left" vertical="center"/>
    </xf>
    <xf numFmtId="0" fontId="1" fillId="10" borderId="23" xfId="0" applyFont="1" applyFill="1" applyBorder="1" applyAlignment="1">
      <alignment horizontal="left" vertical="center"/>
    </xf>
    <xf numFmtId="0" fontId="1" fillId="10" borderId="22" xfId="0" applyFont="1" applyFill="1" applyBorder="1" applyAlignment="1">
      <alignment horizontal="left" vertical="center"/>
    </xf>
    <xf numFmtId="0" fontId="9" fillId="0" borderId="25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9" fontId="9" fillId="0" borderId="34" xfId="0" applyNumberFormat="1" applyFont="1" applyFill="1" applyBorder="1" applyAlignment="1">
      <alignment horizontal="center" vertical="center"/>
    </xf>
    <xf numFmtId="9" fontId="9" fillId="0" borderId="11" xfId="0" applyNumberFormat="1" applyFont="1" applyFill="1" applyBorder="1" applyAlignment="1">
      <alignment horizontal="center" vertical="center"/>
    </xf>
    <xf numFmtId="0" fontId="0" fillId="8" borderId="24" xfId="0" applyFill="1" applyBorder="1" applyAlignment="1" applyProtection="1">
      <alignment horizontal="left"/>
      <protection locked="0"/>
    </xf>
    <xf numFmtId="0" fontId="0" fillId="8" borderId="23" xfId="0" applyFill="1" applyBorder="1" applyAlignment="1" applyProtection="1">
      <alignment horizontal="left"/>
      <protection locked="0"/>
    </xf>
    <xf numFmtId="0" fontId="0" fillId="8" borderId="22" xfId="0" applyFill="1" applyBorder="1" applyAlignment="1" applyProtection="1">
      <alignment horizontal="left"/>
      <protection locked="0"/>
    </xf>
    <xf numFmtId="0" fontId="2" fillId="4" borderId="0" xfId="0" applyFont="1" applyFill="1" applyAlignment="1">
      <alignment horizontal="right" vertical="center"/>
    </xf>
    <xf numFmtId="0" fontId="2" fillId="5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5" fillId="0" borderId="28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24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18" fillId="0" borderId="62" xfId="0" applyFont="1" applyBorder="1" applyAlignment="1">
      <alignment horizontal="center"/>
    </xf>
    <xf numFmtId="0" fontId="18" fillId="0" borderId="61" xfId="0" applyFont="1" applyBorder="1" applyAlignment="1">
      <alignment horizontal="center"/>
    </xf>
    <xf numFmtId="0" fontId="18" fillId="0" borderId="60" xfId="0" applyFont="1" applyBorder="1" applyAlignment="1">
      <alignment horizontal="center"/>
    </xf>
    <xf numFmtId="0" fontId="22" fillId="12" borderId="71" xfId="0" applyFont="1" applyFill="1" applyBorder="1" applyAlignment="1">
      <alignment vertical="center"/>
    </xf>
    <xf numFmtId="0" fontId="30" fillId="12" borderId="71" xfId="0" applyFont="1" applyFill="1" applyBorder="1" applyAlignment="1">
      <alignment vertical="center"/>
    </xf>
    <xf numFmtId="164" fontId="30" fillId="12" borderId="72" xfId="1" applyNumberFormat="1" applyFont="1" applyFill="1" applyBorder="1" applyAlignment="1">
      <alignment vertical="center"/>
    </xf>
    <xf numFmtId="164" fontId="30" fillId="12" borderId="80" xfId="1" applyNumberFormat="1" applyFont="1" applyFill="1" applyBorder="1" applyAlignment="1">
      <alignment vertical="center"/>
    </xf>
    <xf numFmtId="0" fontId="31" fillId="12" borderId="80" xfId="3" applyFont="1" applyFill="1" applyBorder="1" applyAlignment="1" applyProtection="1">
      <alignment vertical="center"/>
    </xf>
    <xf numFmtId="0" fontId="30" fillId="12" borderId="80" xfId="0" applyFont="1" applyFill="1" applyBorder="1" applyAlignment="1">
      <alignment vertical="center"/>
    </xf>
    <xf numFmtId="0" fontId="30" fillId="12" borderId="79" xfId="0" applyFont="1" applyFill="1" applyBorder="1" applyAlignment="1">
      <alignment vertical="center"/>
    </xf>
  </cellXfs>
  <cellStyles count="6">
    <cellStyle name="Comma" xfId="1" builtinId="3"/>
    <cellStyle name="Comma 2" xfId="5"/>
    <cellStyle name="Hyperlink" xfId="3" builtinId="8"/>
    <cellStyle name="Normal" xfId="0" builtinId="0"/>
    <cellStyle name="Normal 2" xfId="4"/>
    <cellStyle name="Percent" xfId="2" builtinId="5"/>
  </cellStyles>
  <dxfs count="0"/>
  <tableStyles count="0" defaultTableStyle="TableStyleMedium2" defaultPivotStyle="PivotStyleLight16"/>
  <colors>
    <mruColors>
      <color rgb="FFC7B8A0"/>
      <color rgb="FFE9CECA"/>
      <color rgb="FF0E3A32"/>
      <color rgb="FFF0572A"/>
      <color rgb="FF519674"/>
      <color rgb="FFDE0000"/>
      <color rgb="FF2222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OPA Reconciliation'!B2:D3"/><Relationship Id="rId3" Type="http://schemas.openxmlformats.org/officeDocument/2006/relationships/hyperlink" Target="https://policy.csu.edu.au/document/associated-information.php?id=248" TargetMode="External"/><Relationship Id="rId7" Type="http://schemas.openxmlformats.org/officeDocument/2006/relationships/hyperlink" Target="#'Budgeted Staff Costs'!A1"/><Relationship Id="rId2" Type="http://schemas.openxmlformats.org/officeDocument/2006/relationships/hyperlink" Target="https://policy.csu.edu.au/view.current.php?id=00021" TargetMode="External"/><Relationship Id="rId1" Type="http://schemas.openxmlformats.org/officeDocument/2006/relationships/hyperlink" Target="https://policy.csu.edu.au/view.current.php?id=00248" TargetMode="External"/><Relationship Id="rId6" Type="http://schemas.openxmlformats.org/officeDocument/2006/relationships/hyperlink" Target="#'OPA Budget '!B2:C3"/><Relationship Id="rId11" Type="http://schemas.openxmlformats.org/officeDocument/2006/relationships/image" Target="../media/image1.jpeg"/><Relationship Id="rId5" Type="http://schemas.openxmlformats.org/officeDocument/2006/relationships/hyperlink" Target="http://www.csu.edu.au/research/forms-facts/forms" TargetMode="External"/><Relationship Id="rId10" Type="http://schemas.openxmlformats.org/officeDocument/2006/relationships/hyperlink" Target="http://finance.csu.edu.au/guides-manuals" TargetMode="External"/><Relationship Id="rId4" Type="http://schemas.openxmlformats.org/officeDocument/2006/relationships/hyperlink" Target="https://policy.csu.edu.au/view.current.php?id=00143" TargetMode="External"/><Relationship Id="rId9" Type="http://schemas.openxmlformats.org/officeDocument/2006/relationships/hyperlink" Target="#'Non-Salary Expenses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Staff Costs'!C4"/><Relationship Id="rId2" Type="http://schemas.openxmlformats.org/officeDocument/2006/relationships/hyperlink" Target="#'Non-Salary Expenses'!A1"/><Relationship Id="rId1" Type="http://schemas.openxmlformats.org/officeDocument/2006/relationships/hyperlink" Target="#'OPA Budget '!A1"/><Relationship Id="rId5" Type="http://schemas.openxmlformats.org/officeDocument/2006/relationships/hyperlink" Target="#'User Guide'!A1"/><Relationship Id="rId4" Type="http://schemas.openxmlformats.org/officeDocument/2006/relationships/hyperlink" Target="#'OPA Reconciliation'!B2:D3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26</xdr:row>
      <xdr:rowOff>78580</xdr:rowOff>
    </xdr:from>
    <xdr:to>
      <xdr:col>2</xdr:col>
      <xdr:colOff>63525</xdr:colOff>
      <xdr:row>26</xdr:row>
      <xdr:rowOff>132580</xdr:rowOff>
    </xdr:to>
    <xdr:sp macro="" textlink="">
      <xdr:nvSpPr>
        <xdr:cNvPr id="3" name="Flowchart: Connector 2"/>
        <xdr:cNvSpPr/>
      </xdr:nvSpPr>
      <xdr:spPr>
        <a:xfrm>
          <a:off x="319088" y="8776096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9525</xdr:colOff>
      <xdr:row>30</xdr:row>
      <xdr:rowOff>76200</xdr:rowOff>
    </xdr:from>
    <xdr:to>
      <xdr:col>2</xdr:col>
      <xdr:colOff>63525</xdr:colOff>
      <xdr:row>30</xdr:row>
      <xdr:rowOff>130200</xdr:rowOff>
    </xdr:to>
    <xdr:sp macro="" textlink="">
      <xdr:nvSpPr>
        <xdr:cNvPr id="4" name="Flowchart: Connector 3"/>
        <xdr:cNvSpPr/>
      </xdr:nvSpPr>
      <xdr:spPr>
        <a:xfrm>
          <a:off x="619125" y="4267200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9525</xdr:colOff>
      <xdr:row>31</xdr:row>
      <xdr:rowOff>76199</xdr:rowOff>
    </xdr:from>
    <xdr:to>
      <xdr:col>2</xdr:col>
      <xdr:colOff>63525</xdr:colOff>
      <xdr:row>31</xdr:row>
      <xdr:rowOff>130199</xdr:rowOff>
    </xdr:to>
    <xdr:sp macro="" textlink="">
      <xdr:nvSpPr>
        <xdr:cNvPr id="5" name="Flowchart: Connector 4"/>
        <xdr:cNvSpPr/>
      </xdr:nvSpPr>
      <xdr:spPr>
        <a:xfrm flipH="1">
          <a:off x="619125" y="4457699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9525</xdr:colOff>
      <xdr:row>34</xdr:row>
      <xdr:rowOff>76200</xdr:rowOff>
    </xdr:from>
    <xdr:to>
      <xdr:col>2</xdr:col>
      <xdr:colOff>63525</xdr:colOff>
      <xdr:row>34</xdr:row>
      <xdr:rowOff>130200</xdr:rowOff>
    </xdr:to>
    <xdr:sp macro="" textlink="">
      <xdr:nvSpPr>
        <xdr:cNvPr id="6" name="Flowchart: Connector 5"/>
        <xdr:cNvSpPr/>
      </xdr:nvSpPr>
      <xdr:spPr>
        <a:xfrm>
          <a:off x="619125" y="5029200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11906</xdr:colOff>
      <xdr:row>35</xdr:row>
      <xdr:rowOff>67762</xdr:rowOff>
    </xdr:from>
    <xdr:to>
      <xdr:col>2</xdr:col>
      <xdr:colOff>65906</xdr:colOff>
      <xdr:row>35</xdr:row>
      <xdr:rowOff>121762</xdr:rowOff>
    </xdr:to>
    <xdr:sp macro="" textlink="">
      <xdr:nvSpPr>
        <xdr:cNvPr id="7" name="Flowchart: Connector 6"/>
        <xdr:cNvSpPr/>
      </xdr:nvSpPr>
      <xdr:spPr>
        <a:xfrm>
          <a:off x="621506" y="5211262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11906</xdr:colOff>
      <xdr:row>39</xdr:row>
      <xdr:rowOff>82842</xdr:rowOff>
    </xdr:from>
    <xdr:to>
      <xdr:col>2</xdr:col>
      <xdr:colOff>65906</xdr:colOff>
      <xdr:row>39</xdr:row>
      <xdr:rowOff>136842</xdr:rowOff>
    </xdr:to>
    <xdr:sp macro="" textlink="">
      <xdr:nvSpPr>
        <xdr:cNvPr id="8" name="Flowchart: Connector 7"/>
        <xdr:cNvSpPr/>
      </xdr:nvSpPr>
      <xdr:spPr>
        <a:xfrm>
          <a:off x="621506" y="5797842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9071</xdr:colOff>
      <xdr:row>19</xdr:row>
      <xdr:rowOff>63500</xdr:rowOff>
    </xdr:from>
    <xdr:to>
      <xdr:col>2</xdr:col>
      <xdr:colOff>63071</xdr:colOff>
      <xdr:row>19</xdr:row>
      <xdr:rowOff>117500</xdr:rowOff>
    </xdr:to>
    <xdr:sp macro="" textlink="">
      <xdr:nvSpPr>
        <xdr:cNvPr id="9" name="Flowchart: Connector 8"/>
        <xdr:cNvSpPr/>
      </xdr:nvSpPr>
      <xdr:spPr>
        <a:xfrm>
          <a:off x="618671" y="2730500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4763</xdr:colOff>
      <xdr:row>43</xdr:row>
      <xdr:rowOff>76200</xdr:rowOff>
    </xdr:from>
    <xdr:to>
      <xdr:col>2</xdr:col>
      <xdr:colOff>58763</xdr:colOff>
      <xdr:row>43</xdr:row>
      <xdr:rowOff>130200</xdr:rowOff>
    </xdr:to>
    <xdr:sp macro="" textlink="">
      <xdr:nvSpPr>
        <xdr:cNvPr id="10" name="Flowchart: Connector 9"/>
        <xdr:cNvSpPr/>
      </xdr:nvSpPr>
      <xdr:spPr>
        <a:xfrm>
          <a:off x="614363" y="6553200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361950</xdr:colOff>
      <xdr:row>13</xdr:row>
      <xdr:rowOff>95249</xdr:rowOff>
    </xdr:from>
    <xdr:to>
      <xdr:col>2</xdr:col>
      <xdr:colOff>1945950</xdr:colOff>
      <xdr:row>15</xdr:row>
      <xdr:rowOff>191774</xdr:rowOff>
    </xdr:to>
    <xdr:sp macro="" textlink="">
      <xdr:nvSpPr>
        <xdr:cNvPr id="14" name="TextBox 13">
          <a:hlinkClick xmlns:r="http://schemas.openxmlformats.org/officeDocument/2006/relationships" r:id="rId1"/>
        </xdr:cNvPr>
        <xdr:cNvSpPr txBox="1"/>
      </xdr:nvSpPr>
      <xdr:spPr>
        <a:xfrm>
          <a:off x="971550" y="1809749"/>
          <a:ext cx="250500" cy="477525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AU" sz="1200" b="1"/>
            <a:t>OPA Policy</a:t>
          </a:r>
        </a:p>
      </xdr:txBody>
    </xdr:sp>
    <xdr:clientData/>
  </xdr:twoCellAnchor>
  <xdr:twoCellAnchor>
    <xdr:from>
      <xdr:col>2</xdr:col>
      <xdr:colOff>2379068</xdr:colOff>
      <xdr:row>13</xdr:row>
      <xdr:rowOff>93568</xdr:rowOff>
    </xdr:from>
    <xdr:to>
      <xdr:col>2</xdr:col>
      <xdr:colOff>3963068</xdr:colOff>
      <xdr:row>15</xdr:row>
      <xdr:rowOff>191774</xdr:rowOff>
    </xdr:to>
    <xdr:sp macro="" textlink="">
      <xdr:nvSpPr>
        <xdr:cNvPr id="15" name="Rectangle 14">
          <a:hlinkClick xmlns:r="http://schemas.openxmlformats.org/officeDocument/2006/relationships" r:id="rId2"/>
        </xdr:cNvPr>
        <xdr:cNvSpPr/>
      </xdr:nvSpPr>
      <xdr:spPr>
        <a:xfrm>
          <a:off x="1217018" y="1808068"/>
          <a:ext cx="2850" cy="479206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AU" sz="1200" b="1"/>
            <a:t>Policy on Delegations and Authorisations</a:t>
          </a:r>
        </a:p>
      </xdr:txBody>
    </xdr:sp>
    <xdr:clientData/>
  </xdr:twoCellAnchor>
  <xdr:twoCellAnchor>
    <xdr:from>
      <xdr:col>2</xdr:col>
      <xdr:colOff>4391350</xdr:colOff>
      <xdr:row>13</xdr:row>
      <xdr:rowOff>94129</xdr:rowOff>
    </xdr:from>
    <xdr:to>
      <xdr:col>2</xdr:col>
      <xdr:colOff>5975350</xdr:colOff>
      <xdr:row>15</xdr:row>
      <xdr:rowOff>192335</xdr:rowOff>
    </xdr:to>
    <xdr:sp macro="" textlink="">
      <xdr:nvSpPr>
        <xdr:cNvPr id="16" name="Rectangle 15">
          <a:hlinkClick xmlns:r="http://schemas.openxmlformats.org/officeDocument/2006/relationships" r:id="rId3"/>
        </xdr:cNvPr>
        <xdr:cNvSpPr/>
      </xdr:nvSpPr>
      <xdr:spPr>
        <a:xfrm>
          <a:off x="1219525" y="1808629"/>
          <a:ext cx="2850" cy="479206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200" b="1"/>
            <a:t>OPA Policy </a:t>
          </a:r>
        </a:p>
        <a:p>
          <a:pPr algn="ctr"/>
          <a:r>
            <a:rPr lang="en-AU" sz="1200" b="1"/>
            <a:t>Progress Flowchart</a:t>
          </a:r>
        </a:p>
      </xdr:txBody>
    </xdr:sp>
    <xdr:clientData/>
  </xdr:twoCellAnchor>
  <xdr:twoCellAnchor>
    <xdr:from>
      <xdr:col>2</xdr:col>
      <xdr:colOff>7936</xdr:colOff>
      <xdr:row>20</xdr:row>
      <xdr:rowOff>70716</xdr:rowOff>
    </xdr:from>
    <xdr:to>
      <xdr:col>2</xdr:col>
      <xdr:colOff>62657</xdr:colOff>
      <xdr:row>20</xdr:row>
      <xdr:rowOff>124716</xdr:rowOff>
    </xdr:to>
    <xdr:sp macro="" textlink="">
      <xdr:nvSpPr>
        <xdr:cNvPr id="17" name="Flowchart: Connector 16"/>
        <xdr:cNvSpPr/>
      </xdr:nvSpPr>
      <xdr:spPr>
        <a:xfrm>
          <a:off x="617536" y="2928216"/>
          <a:ext cx="54721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4763</xdr:colOff>
      <xdr:row>51</xdr:row>
      <xdr:rowOff>76200</xdr:rowOff>
    </xdr:from>
    <xdr:to>
      <xdr:col>2</xdr:col>
      <xdr:colOff>58763</xdr:colOff>
      <xdr:row>51</xdr:row>
      <xdr:rowOff>130200</xdr:rowOff>
    </xdr:to>
    <xdr:sp macro="" textlink="">
      <xdr:nvSpPr>
        <xdr:cNvPr id="18" name="Flowchart: Connector 17"/>
        <xdr:cNvSpPr/>
      </xdr:nvSpPr>
      <xdr:spPr>
        <a:xfrm>
          <a:off x="614363" y="7696200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1666875</xdr:colOff>
      <xdr:row>51</xdr:row>
      <xdr:rowOff>276224</xdr:rowOff>
    </xdr:from>
    <xdr:to>
      <xdr:col>2</xdr:col>
      <xdr:colOff>3790950</xdr:colOff>
      <xdr:row>53</xdr:row>
      <xdr:rowOff>57150</xdr:rowOff>
    </xdr:to>
    <xdr:sp macro="" textlink="">
      <xdr:nvSpPr>
        <xdr:cNvPr id="19" name="TextBox 18">
          <a:hlinkClick xmlns:r="http://schemas.openxmlformats.org/officeDocument/2006/relationships" r:id="rId4"/>
        </xdr:cNvPr>
        <xdr:cNvSpPr txBox="1"/>
      </xdr:nvSpPr>
      <xdr:spPr>
        <a:xfrm>
          <a:off x="1971675" y="12249149"/>
          <a:ext cx="2124075" cy="352426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AU" sz="1200" b="1"/>
            <a:t>Commercial</a:t>
          </a:r>
          <a:r>
            <a:rPr lang="en-AU" sz="1200" b="1" baseline="0"/>
            <a:t> Activities</a:t>
          </a:r>
          <a:r>
            <a:rPr lang="en-AU" sz="1200" b="1"/>
            <a:t> Policy</a:t>
          </a:r>
        </a:p>
      </xdr:txBody>
    </xdr:sp>
    <xdr:clientData/>
  </xdr:twoCellAnchor>
  <xdr:twoCellAnchor>
    <xdr:from>
      <xdr:col>2</xdr:col>
      <xdr:colOff>11906</xdr:colOff>
      <xdr:row>65</xdr:row>
      <xdr:rowOff>67762</xdr:rowOff>
    </xdr:from>
    <xdr:to>
      <xdr:col>2</xdr:col>
      <xdr:colOff>65906</xdr:colOff>
      <xdr:row>65</xdr:row>
      <xdr:rowOff>121762</xdr:rowOff>
    </xdr:to>
    <xdr:sp macro="" textlink="">
      <xdr:nvSpPr>
        <xdr:cNvPr id="20" name="Flowchart: Connector 19"/>
        <xdr:cNvSpPr/>
      </xdr:nvSpPr>
      <xdr:spPr>
        <a:xfrm>
          <a:off x="621506" y="10164262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16669</xdr:colOff>
      <xdr:row>55</xdr:row>
      <xdr:rowOff>82153</xdr:rowOff>
    </xdr:from>
    <xdr:to>
      <xdr:col>2</xdr:col>
      <xdr:colOff>70669</xdr:colOff>
      <xdr:row>55</xdr:row>
      <xdr:rowOff>136153</xdr:rowOff>
    </xdr:to>
    <xdr:sp macro="" textlink="">
      <xdr:nvSpPr>
        <xdr:cNvPr id="21" name="Flowchart: Connector 20"/>
        <xdr:cNvSpPr/>
      </xdr:nvSpPr>
      <xdr:spPr>
        <a:xfrm>
          <a:off x="511969" y="15265003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11906</xdr:colOff>
      <xdr:row>56</xdr:row>
      <xdr:rowOff>67762</xdr:rowOff>
    </xdr:from>
    <xdr:to>
      <xdr:col>2</xdr:col>
      <xdr:colOff>65906</xdr:colOff>
      <xdr:row>56</xdr:row>
      <xdr:rowOff>121762</xdr:rowOff>
    </xdr:to>
    <xdr:sp macro="" textlink="">
      <xdr:nvSpPr>
        <xdr:cNvPr id="22" name="Flowchart: Connector 21"/>
        <xdr:cNvSpPr/>
      </xdr:nvSpPr>
      <xdr:spPr>
        <a:xfrm>
          <a:off x="621506" y="8830762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11906</xdr:colOff>
      <xdr:row>58</xdr:row>
      <xdr:rowOff>67762</xdr:rowOff>
    </xdr:from>
    <xdr:to>
      <xdr:col>2</xdr:col>
      <xdr:colOff>65906</xdr:colOff>
      <xdr:row>58</xdr:row>
      <xdr:rowOff>121762</xdr:rowOff>
    </xdr:to>
    <xdr:sp macro="" textlink="">
      <xdr:nvSpPr>
        <xdr:cNvPr id="23" name="Flowchart: Connector 22"/>
        <xdr:cNvSpPr/>
      </xdr:nvSpPr>
      <xdr:spPr>
        <a:xfrm>
          <a:off x="507206" y="16203112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11906</xdr:colOff>
      <xdr:row>61</xdr:row>
      <xdr:rowOff>79669</xdr:rowOff>
    </xdr:from>
    <xdr:to>
      <xdr:col>2</xdr:col>
      <xdr:colOff>65906</xdr:colOff>
      <xdr:row>61</xdr:row>
      <xdr:rowOff>133669</xdr:rowOff>
    </xdr:to>
    <xdr:sp macro="" textlink="">
      <xdr:nvSpPr>
        <xdr:cNvPr id="24" name="Flowchart: Connector 23"/>
        <xdr:cNvSpPr/>
      </xdr:nvSpPr>
      <xdr:spPr>
        <a:xfrm>
          <a:off x="321469" y="16587685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11906</xdr:colOff>
      <xdr:row>57</xdr:row>
      <xdr:rowOff>67762</xdr:rowOff>
    </xdr:from>
    <xdr:to>
      <xdr:col>2</xdr:col>
      <xdr:colOff>65906</xdr:colOff>
      <xdr:row>57</xdr:row>
      <xdr:rowOff>121762</xdr:rowOff>
    </xdr:to>
    <xdr:sp macro="" textlink="">
      <xdr:nvSpPr>
        <xdr:cNvPr id="25" name="Flowchart: Connector 24"/>
        <xdr:cNvSpPr/>
      </xdr:nvSpPr>
      <xdr:spPr>
        <a:xfrm>
          <a:off x="621506" y="9021262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4403056</xdr:colOff>
      <xdr:row>6</xdr:row>
      <xdr:rowOff>172453</xdr:rowOff>
    </xdr:from>
    <xdr:to>
      <xdr:col>2</xdr:col>
      <xdr:colOff>5987056</xdr:colOff>
      <xdr:row>9</xdr:row>
      <xdr:rowOff>108553</xdr:rowOff>
    </xdr:to>
    <xdr:sp macro="" textlink="">
      <xdr:nvSpPr>
        <xdr:cNvPr id="28" name="Rectangle 27">
          <a:hlinkClick xmlns:r="http://schemas.openxmlformats.org/officeDocument/2006/relationships" r:id="rId5"/>
        </xdr:cNvPr>
        <xdr:cNvSpPr/>
      </xdr:nvSpPr>
      <xdr:spPr>
        <a:xfrm>
          <a:off x="1221706" y="553453"/>
          <a:ext cx="0" cy="507600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AU" sz="1200" b="1"/>
            <a:t>Research</a:t>
          </a:r>
          <a:r>
            <a:rPr lang="en-AU" sz="1200" b="1" baseline="0"/>
            <a:t> Office Forms &amp; Guides</a:t>
          </a:r>
          <a:endParaRPr lang="en-AU" sz="1200" b="1"/>
        </a:p>
      </xdr:txBody>
    </xdr:sp>
    <xdr:clientData/>
  </xdr:twoCellAnchor>
  <xdr:twoCellAnchor>
    <xdr:from>
      <xdr:col>2</xdr:col>
      <xdr:colOff>447675</xdr:colOff>
      <xdr:row>6</xdr:row>
      <xdr:rowOff>116633</xdr:rowOff>
    </xdr:from>
    <xdr:to>
      <xdr:col>2</xdr:col>
      <xdr:colOff>3733801</xdr:colOff>
      <xdr:row>10</xdr:row>
      <xdr:rowOff>19050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1057275" y="497633"/>
          <a:ext cx="161926" cy="664417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ctr" upright="1"/>
        <a:lstStyle/>
        <a:p>
          <a:pPr algn="ctr" rtl="0">
            <a:defRPr sz="1000"/>
          </a:pPr>
          <a:r>
            <a:rPr lang="en-AU" sz="1100" b="0" i="0" u="none" strike="noStrike" baseline="0">
              <a:solidFill>
                <a:srgbClr val="000000"/>
              </a:solidFill>
              <a:latin typeface="+mn-lt"/>
            </a:rPr>
            <a:t>For </a:t>
          </a:r>
          <a:r>
            <a:rPr lang="en-AU" sz="1100">
              <a:effectLst/>
              <a:latin typeface="+mn-lt"/>
              <a:ea typeface="+mn-ea"/>
              <a:cs typeface="+mn-cs"/>
            </a:rPr>
            <a:t>research grants or consultancies</a:t>
          </a:r>
          <a:r>
            <a:rPr lang="en-AU" sz="1100" b="0" i="0" u="none" strike="noStrike" baseline="0">
              <a:solidFill>
                <a:srgbClr val="000000"/>
              </a:solidFill>
              <a:latin typeface="+mn-lt"/>
            </a:rPr>
            <a:t>, please access the</a:t>
          </a:r>
          <a:r>
            <a:rPr lang="en-AU" sz="1100">
              <a:effectLst/>
              <a:latin typeface="+mn-lt"/>
              <a:ea typeface="+mn-ea"/>
              <a:cs typeface="+mn-cs"/>
            </a:rPr>
            <a:t> Research Budget</a:t>
          </a:r>
          <a:r>
            <a:rPr lang="en-AU" sz="1100" baseline="0">
              <a:effectLst/>
              <a:latin typeface="+mn-lt"/>
              <a:ea typeface="+mn-ea"/>
              <a:cs typeface="+mn-cs"/>
            </a:rPr>
            <a:t> </a:t>
          </a:r>
          <a:r>
            <a:rPr lang="en-AU" sz="1100">
              <a:effectLst/>
              <a:latin typeface="+mn-lt"/>
              <a:ea typeface="+mn-ea"/>
              <a:cs typeface="+mn-cs"/>
            </a:rPr>
            <a:t>Approval Form (BAF) located on the</a:t>
          </a:r>
          <a:r>
            <a:rPr lang="en-AU" sz="1100" baseline="0">
              <a:effectLst/>
              <a:latin typeface="+mn-lt"/>
              <a:ea typeface="+mn-ea"/>
              <a:cs typeface="+mn-cs"/>
            </a:rPr>
            <a:t> </a:t>
          </a:r>
          <a:r>
            <a:rPr lang="en-AU" sz="1100" b="0" i="0" u="none" strike="noStrike" baseline="0">
              <a:solidFill>
                <a:srgbClr val="000000"/>
              </a:solidFill>
              <a:latin typeface="+mn-lt"/>
            </a:rPr>
            <a:t>Research Office Forms &amp; Guides website</a:t>
          </a:r>
          <a:r>
            <a:rPr lang="en-AU" sz="1100" b="0" i="0" u="none" strike="noStrike" baseline="0">
              <a:solidFill>
                <a:srgbClr val="000000"/>
              </a:solidFill>
              <a:latin typeface="Calibri"/>
            </a:rPr>
            <a:t>. </a:t>
          </a:r>
        </a:p>
      </xdr:txBody>
    </xdr:sp>
    <xdr:clientData/>
  </xdr:twoCellAnchor>
  <xdr:twoCellAnchor>
    <xdr:from>
      <xdr:col>2</xdr:col>
      <xdr:colOff>3829050</xdr:colOff>
      <xdr:row>7</xdr:row>
      <xdr:rowOff>95249</xdr:rowOff>
    </xdr:from>
    <xdr:to>
      <xdr:col>2</xdr:col>
      <xdr:colOff>4284569</xdr:colOff>
      <xdr:row>9</xdr:row>
      <xdr:rowOff>9524</xdr:rowOff>
    </xdr:to>
    <xdr:sp macro="" textlink="">
      <xdr:nvSpPr>
        <xdr:cNvPr id="30" name="Right Arrow 29"/>
        <xdr:cNvSpPr/>
      </xdr:nvSpPr>
      <xdr:spPr>
        <a:xfrm>
          <a:off x="4133850" y="3209924"/>
          <a:ext cx="455519" cy="295275"/>
        </a:xfrm>
        <a:prstGeom prst="rightArrow">
          <a:avLst/>
        </a:prstGeom>
        <a:solidFill>
          <a:schemeClr val="tx1"/>
        </a:solidFill>
        <a:ln w="190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7936</xdr:colOff>
      <xdr:row>21</xdr:row>
      <xdr:rowOff>102863</xdr:rowOff>
    </xdr:from>
    <xdr:to>
      <xdr:col>2</xdr:col>
      <xdr:colOff>62657</xdr:colOff>
      <xdr:row>21</xdr:row>
      <xdr:rowOff>156863</xdr:rowOff>
    </xdr:to>
    <xdr:sp macro="" textlink="">
      <xdr:nvSpPr>
        <xdr:cNvPr id="42" name="Flowchart: Connector 41"/>
        <xdr:cNvSpPr/>
      </xdr:nvSpPr>
      <xdr:spPr>
        <a:xfrm>
          <a:off x="312736" y="7399013"/>
          <a:ext cx="54721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3613</xdr:colOff>
      <xdr:row>22</xdr:row>
      <xdr:rowOff>72258</xdr:rowOff>
    </xdr:from>
    <xdr:to>
      <xdr:col>2</xdr:col>
      <xdr:colOff>58334</xdr:colOff>
      <xdr:row>22</xdr:row>
      <xdr:rowOff>126258</xdr:rowOff>
    </xdr:to>
    <xdr:sp macro="" textlink="">
      <xdr:nvSpPr>
        <xdr:cNvPr id="45" name="Flowchart: Connector 44"/>
        <xdr:cNvSpPr/>
      </xdr:nvSpPr>
      <xdr:spPr>
        <a:xfrm>
          <a:off x="308413" y="7206483"/>
          <a:ext cx="54721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1</xdr:col>
      <xdr:colOff>102515</xdr:colOff>
      <xdr:row>23</xdr:row>
      <xdr:rowOff>108100</xdr:rowOff>
    </xdr:from>
    <xdr:to>
      <xdr:col>2</xdr:col>
      <xdr:colOff>54843</xdr:colOff>
      <xdr:row>23</xdr:row>
      <xdr:rowOff>162100</xdr:rowOff>
    </xdr:to>
    <xdr:sp macro="" textlink="">
      <xdr:nvSpPr>
        <xdr:cNvPr id="46" name="Flowchart: Connector 45"/>
        <xdr:cNvSpPr/>
      </xdr:nvSpPr>
      <xdr:spPr>
        <a:xfrm>
          <a:off x="302540" y="8004325"/>
          <a:ext cx="57103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9071</xdr:colOff>
      <xdr:row>18</xdr:row>
      <xdr:rowOff>63500</xdr:rowOff>
    </xdr:from>
    <xdr:to>
      <xdr:col>2</xdr:col>
      <xdr:colOff>63071</xdr:colOff>
      <xdr:row>18</xdr:row>
      <xdr:rowOff>117500</xdr:rowOff>
    </xdr:to>
    <xdr:sp macro="" textlink="">
      <xdr:nvSpPr>
        <xdr:cNvPr id="47" name="Flowchart: Connector 46"/>
        <xdr:cNvSpPr/>
      </xdr:nvSpPr>
      <xdr:spPr>
        <a:xfrm>
          <a:off x="313871" y="6207125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11906</xdr:colOff>
      <xdr:row>62</xdr:row>
      <xdr:rowOff>73715</xdr:rowOff>
    </xdr:from>
    <xdr:to>
      <xdr:col>2</xdr:col>
      <xdr:colOff>65906</xdr:colOff>
      <xdr:row>62</xdr:row>
      <xdr:rowOff>127715</xdr:rowOff>
    </xdr:to>
    <xdr:sp macro="" textlink="">
      <xdr:nvSpPr>
        <xdr:cNvPr id="49" name="Flowchart: Connector 48"/>
        <xdr:cNvSpPr/>
      </xdr:nvSpPr>
      <xdr:spPr>
        <a:xfrm>
          <a:off x="321469" y="16962731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11906</xdr:colOff>
      <xdr:row>36</xdr:row>
      <xdr:rowOff>67762</xdr:rowOff>
    </xdr:from>
    <xdr:to>
      <xdr:col>2</xdr:col>
      <xdr:colOff>65906</xdr:colOff>
      <xdr:row>36</xdr:row>
      <xdr:rowOff>121762</xdr:rowOff>
    </xdr:to>
    <xdr:sp macro="" textlink="">
      <xdr:nvSpPr>
        <xdr:cNvPr id="37" name="Flowchart: Connector 36"/>
        <xdr:cNvSpPr/>
      </xdr:nvSpPr>
      <xdr:spPr>
        <a:xfrm>
          <a:off x="507206" y="10850062"/>
          <a:ext cx="54000" cy="54000"/>
        </a:xfrm>
        <a:prstGeom prst="flowChartConnector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800"/>
        </a:p>
      </xdr:txBody>
    </xdr:sp>
    <xdr:clientData/>
  </xdr:twoCellAnchor>
  <xdr:twoCellAnchor>
    <xdr:from>
      <xdr:col>2</xdr:col>
      <xdr:colOff>2363755</xdr:colOff>
      <xdr:row>69</xdr:row>
      <xdr:rowOff>333375</xdr:rowOff>
    </xdr:from>
    <xdr:to>
      <xdr:col>2</xdr:col>
      <xdr:colOff>3983755</xdr:colOff>
      <xdr:row>69</xdr:row>
      <xdr:rowOff>657375</xdr:rowOff>
    </xdr:to>
    <xdr:sp macro="" textlink="">
      <xdr:nvSpPr>
        <xdr:cNvPr id="39" name="Rectangle 38">
          <a:hlinkClick xmlns:r="http://schemas.openxmlformats.org/officeDocument/2006/relationships" r:id="rId6"/>
        </xdr:cNvPr>
        <xdr:cNvSpPr/>
      </xdr:nvSpPr>
      <xdr:spPr>
        <a:xfrm>
          <a:off x="2859055" y="18945225"/>
          <a:ext cx="1620000" cy="324000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300" b="1" baseline="0"/>
            <a:t>OPA</a:t>
          </a:r>
          <a:r>
            <a:rPr lang="en-AU" sz="1300" b="1"/>
            <a:t> Budget</a:t>
          </a:r>
        </a:p>
      </xdr:txBody>
    </xdr:sp>
    <xdr:clientData/>
  </xdr:twoCellAnchor>
  <xdr:twoCellAnchor>
    <xdr:from>
      <xdr:col>2</xdr:col>
      <xdr:colOff>4119055</xdr:colOff>
      <xdr:row>69</xdr:row>
      <xdr:rowOff>923060</xdr:rowOff>
    </xdr:from>
    <xdr:to>
      <xdr:col>2</xdr:col>
      <xdr:colOff>5739055</xdr:colOff>
      <xdr:row>69</xdr:row>
      <xdr:rowOff>1247060</xdr:rowOff>
    </xdr:to>
    <xdr:sp macro="" textlink="">
      <xdr:nvSpPr>
        <xdr:cNvPr id="40" name="Rectangle 39">
          <a:hlinkClick xmlns:r="http://schemas.openxmlformats.org/officeDocument/2006/relationships" r:id="rId7"/>
        </xdr:cNvPr>
        <xdr:cNvSpPr/>
      </xdr:nvSpPr>
      <xdr:spPr>
        <a:xfrm>
          <a:off x="4620705" y="19573010"/>
          <a:ext cx="1620000" cy="324000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300" b="1"/>
            <a:t>Staff</a:t>
          </a:r>
          <a:r>
            <a:rPr lang="en-AU" sz="1300" b="1" baseline="0"/>
            <a:t> Costs</a:t>
          </a:r>
          <a:endParaRPr lang="en-AU" sz="1300" b="1"/>
        </a:p>
      </xdr:txBody>
    </xdr:sp>
    <xdr:clientData/>
  </xdr:twoCellAnchor>
  <xdr:twoCellAnchor>
    <xdr:from>
      <xdr:col>2</xdr:col>
      <xdr:colOff>4120783</xdr:colOff>
      <xdr:row>69</xdr:row>
      <xdr:rowOff>338665</xdr:rowOff>
    </xdr:from>
    <xdr:to>
      <xdr:col>2</xdr:col>
      <xdr:colOff>5740783</xdr:colOff>
      <xdr:row>69</xdr:row>
      <xdr:rowOff>662665</xdr:rowOff>
    </xdr:to>
    <xdr:sp macro="" textlink="">
      <xdr:nvSpPr>
        <xdr:cNvPr id="41" name="Rectangle 40">
          <a:hlinkClick xmlns:r="http://schemas.openxmlformats.org/officeDocument/2006/relationships" r:id="rId8"/>
        </xdr:cNvPr>
        <xdr:cNvSpPr/>
      </xdr:nvSpPr>
      <xdr:spPr>
        <a:xfrm>
          <a:off x="4616083" y="18950515"/>
          <a:ext cx="1620000" cy="324000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300" b="1"/>
            <a:t>OPA Reconciliation</a:t>
          </a:r>
        </a:p>
      </xdr:txBody>
    </xdr:sp>
    <xdr:clientData/>
  </xdr:twoCellAnchor>
  <xdr:twoCellAnchor>
    <xdr:from>
      <xdr:col>2</xdr:col>
      <xdr:colOff>2356930</xdr:colOff>
      <xdr:row>69</xdr:row>
      <xdr:rowOff>922003</xdr:rowOff>
    </xdr:from>
    <xdr:to>
      <xdr:col>2</xdr:col>
      <xdr:colOff>3976930</xdr:colOff>
      <xdr:row>69</xdr:row>
      <xdr:rowOff>1246003</xdr:rowOff>
    </xdr:to>
    <xdr:sp macro="" textlink="">
      <xdr:nvSpPr>
        <xdr:cNvPr id="43" name="Rectangle 42">
          <a:hlinkClick xmlns:r="http://schemas.openxmlformats.org/officeDocument/2006/relationships" r:id="rId9"/>
        </xdr:cNvPr>
        <xdr:cNvSpPr/>
      </xdr:nvSpPr>
      <xdr:spPr>
        <a:xfrm>
          <a:off x="2852230" y="19533853"/>
          <a:ext cx="1620000" cy="324000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300" b="1"/>
            <a:t>Non-Salary</a:t>
          </a:r>
          <a:r>
            <a:rPr lang="en-AU" sz="1300" b="1" baseline="0"/>
            <a:t> Expenses</a:t>
          </a:r>
          <a:endParaRPr lang="en-AU" sz="1300" b="1"/>
        </a:p>
      </xdr:txBody>
    </xdr:sp>
    <xdr:clientData/>
  </xdr:twoCellAnchor>
  <xdr:twoCellAnchor>
    <xdr:from>
      <xdr:col>2</xdr:col>
      <xdr:colOff>1857375</xdr:colOff>
      <xdr:row>69</xdr:row>
      <xdr:rowOff>466726</xdr:rowOff>
    </xdr:from>
    <xdr:to>
      <xdr:col>2</xdr:col>
      <xdr:colOff>2152650</xdr:colOff>
      <xdr:row>69</xdr:row>
      <xdr:rowOff>1095376</xdr:rowOff>
    </xdr:to>
    <xdr:sp macro="" textlink="">
      <xdr:nvSpPr>
        <xdr:cNvPr id="44" name="Left Brace 43"/>
        <xdr:cNvSpPr/>
      </xdr:nvSpPr>
      <xdr:spPr>
        <a:xfrm>
          <a:off x="2352675" y="19078576"/>
          <a:ext cx="295275" cy="628650"/>
        </a:xfrm>
        <a:prstGeom prst="leftBrac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1657350</xdr:colOff>
      <xdr:row>48</xdr:row>
      <xdr:rowOff>104775</xdr:rowOff>
    </xdr:from>
    <xdr:to>
      <xdr:col>2</xdr:col>
      <xdr:colOff>3781425</xdr:colOff>
      <xdr:row>49</xdr:row>
      <xdr:rowOff>40875</xdr:rowOff>
    </xdr:to>
    <xdr:sp macro="" textlink="">
      <xdr:nvSpPr>
        <xdr:cNvPr id="38" name="TextBox 37">
          <a:hlinkClick xmlns:r="http://schemas.openxmlformats.org/officeDocument/2006/relationships" r:id="rId10"/>
        </xdr:cNvPr>
        <xdr:cNvSpPr txBox="1"/>
      </xdr:nvSpPr>
      <xdr:spPr>
        <a:xfrm>
          <a:off x="2152650" y="13382625"/>
          <a:ext cx="2124075" cy="507600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AU" sz="1200" b="1"/>
            <a:t>Fund A5401 Faculty Reseach</a:t>
          </a:r>
          <a:r>
            <a:rPr lang="en-AU" sz="1200" b="1" baseline="0"/>
            <a:t> Support Fund </a:t>
          </a:r>
          <a:r>
            <a:rPr lang="en-AU" sz="1200" b="1"/>
            <a:t>Fact Sheet</a:t>
          </a:r>
        </a:p>
      </xdr:txBody>
    </xdr:sp>
    <xdr:clientData/>
  </xdr:twoCellAnchor>
  <xdr:twoCellAnchor>
    <xdr:from>
      <xdr:col>2</xdr:col>
      <xdr:colOff>4538955</xdr:colOff>
      <xdr:row>2</xdr:row>
      <xdr:rowOff>66676</xdr:rowOff>
    </xdr:from>
    <xdr:to>
      <xdr:col>2</xdr:col>
      <xdr:colOff>6735536</xdr:colOff>
      <xdr:row>2</xdr:row>
      <xdr:rowOff>291582</xdr:rowOff>
    </xdr:to>
    <xdr:sp macro="" textlink="">
      <xdr:nvSpPr>
        <xdr:cNvPr id="50" name="TextBox 49">
          <a:hlinkClick xmlns:r="http://schemas.openxmlformats.org/officeDocument/2006/relationships" r:id="rId10"/>
        </xdr:cNvPr>
        <xdr:cNvSpPr txBox="1"/>
      </xdr:nvSpPr>
      <xdr:spPr>
        <a:xfrm>
          <a:off x="4743062" y="795630"/>
          <a:ext cx="2196581" cy="224906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l"/>
          <a:r>
            <a:rPr lang="en-AU" sz="1150" b="1"/>
            <a:t>pdf:</a:t>
          </a:r>
          <a:r>
            <a:rPr lang="en-AU" sz="1150" b="1" baseline="0"/>
            <a:t> </a:t>
          </a:r>
          <a:r>
            <a:rPr lang="en-AU" sz="1150" b="1"/>
            <a:t>OPA Budget Tool User Guide</a:t>
          </a:r>
        </a:p>
      </xdr:txBody>
    </xdr:sp>
    <xdr:clientData/>
  </xdr:twoCellAnchor>
  <xdr:twoCellAnchor editAs="oneCell">
    <xdr:from>
      <xdr:col>2</xdr:col>
      <xdr:colOff>4733343</xdr:colOff>
      <xdr:row>1</xdr:row>
      <xdr:rowOff>19440</xdr:rowOff>
    </xdr:from>
    <xdr:to>
      <xdr:col>2</xdr:col>
      <xdr:colOff>6745255</xdr:colOff>
      <xdr:row>1</xdr:row>
      <xdr:rowOff>612724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7450" y="106914"/>
          <a:ext cx="2011912" cy="5932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76201</xdr:colOff>
      <xdr:row>29</xdr:row>
      <xdr:rowOff>76200</xdr:rowOff>
    </xdr:from>
    <xdr:to>
      <xdr:col>7</xdr:col>
      <xdr:colOff>82801</xdr:colOff>
      <xdr:row>29</xdr:row>
      <xdr:rowOff>238125</xdr:rowOff>
    </xdr:to>
    <xdr:sp macro="" textlink="">
      <xdr:nvSpPr>
        <xdr:cNvPr id="4" name="Right Arrow 1"/>
        <xdr:cNvSpPr/>
      </xdr:nvSpPr>
      <xdr:spPr>
        <a:xfrm>
          <a:off x="4943476" y="5534025"/>
          <a:ext cx="540000" cy="161925"/>
        </a:xfrm>
        <a:custGeom>
          <a:avLst/>
          <a:gdLst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2861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4766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409700" h="657225">
              <a:moveTo>
                <a:pt x="0" y="164306"/>
              </a:moveTo>
              <a:lnTo>
                <a:pt x="1081088" y="164306"/>
              </a:lnTo>
              <a:lnTo>
                <a:pt x="1081088" y="0"/>
              </a:lnTo>
              <a:lnTo>
                <a:pt x="1409700" y="347663"/>
              </a:lnTo>
              <a:lnTo>
                <a:pt x="1081088" y="657225"/>
              </a:lnTo>
              <a:lnTo>
                <a:pt x="1081088" y="492919"/>
              </a:lnTo>
              <a:lnTo>
                <a:pt x="0" y="492919"/>
              </a:lnTo>
              <a:lnTo>
                <a:pt x="0" y="164306"/>
              </a:lnTo>
              <a:close/>
            </a:path>
          </a:pathLst>
        </a:custGeom>
        <a:solidFill>
          <a:srgbClr val="519674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76201</xdr:colOff>
      <xdr:row>30</xdr:row>
      <xdr:rowOff>76200</xdr:rowOff>
    </xdr:from>
    <xdr:to>
      <xdr:col>7</xdr:col>
      <xdr:colOff>82801</xdr:colOff>
      <xdr:row>30</xdr:row>
      <xdr:rowOff>238125</xdr:rowOff>
    </xdr:to>
    <xdr:sp macro="" textlink="">
      <xdr:nvSpPr>
        <xdr:cNvPr id="5" name="Right Arrow 1"/>
        <xdr:cNvSpPr/>
      </xdr:nvSpPr>
      <xdr:spPr>
        <a:xfrm>
          <a:off x="4943476" y="5905500"/>
          <a:ext cx="540000" cy="161925"/>
        </a:xfrm>
        <a:custGeom>
          <a:avLst/>
          <a:gdLst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2861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4766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409700" h="657225">
              <a:moveTo>
                <a:pt x="0" y="164306"/>
              </a:moveTo>
              <a:lnTo>
                <a:pt x="1081088" y="164306"/>
              </a:lnTo>
              <a:lnTo>
                <a:pt x="1081088" y="0"/>
              </a:lnTo>
              <a:lnTo>
                <a:pt x="1409700" y="347663"/>
              </a:lnTo>
              <a:lnTo>
                <a:pt x="1081088" y="657225"/>
              </a:lnTo>
              <a:lnTo>
                <a:pt x="1081088" y="492919"/>
              </a:lnTo>
              <a:lnTo>
                <a:pt x="0" y="492919"/>
              </a:lnTo>
              <a:lnTo>
                <a:pt x="0" y="164306"/>
              </a:lnTo>
              <a:close/>
            </a:path>
          </a:pathLst>
        </a:custGeom>
        <a:solidFill>
          <a:srgbClr val="519674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76201</xdr:colOff>
      <xdr:row>31</xdr:row>
      <xdr:rowOff>38100</xdr:rowOff>
    </xdr:from>
    <xdr:to>
      <xdr:col>7</xdr:col>
      <xdr:colOff>82801</xdr:colOff>
      <xdr:row>31</xdr:row>
      <xdr:rowOff>200025</xdr:rowOff>
    </xdr:to>
    <xdr:sp macro="" textlink="">
      <xdr:nvSpPr>
        <xdr:cNvPr id="6" name="Right Arrow 1"/>
        <xdr:cNvSpPr/>
      </xdr:nvSpPr>
      <xdr:spPr>
        <a:xfrm>
          <a:off x="4943476" y="6248400"/>
          <a:ext cx="540000" cy="161925"/>
        </a:xfrm>
        <a:custGeom>
          <a:avLst/>
          <a:gdLst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2861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4766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409700" h="657225">
              <a:moveTo>
                <a:pt x="0" y="164306"/>
              </a:moveTo>
              <a:lnTo>
                <a:pt x="1081088" y="164306"/>
              </a:lnTo>
              <a:lnTo>
                <a:pt x="1081088" y="0"/>
              </a:lnTo>
              <a:lnTo>
                <a:pt x="1409700" y="347663"/>
              </a:lnTo>
              <a:lnTo>
                <a:pt x="1081088" y="657225"/>
              </a:lnTo>
              <a:lnTo>
                <a:pt x="1081088" y="492919"/>
              </a:lnTo>
              <a:lnTo>
                <a:pt x="0" y="492919"/>
              </a:lnTo>
              <a:lnTo>
                <a:pt x="0" y="164306"/>
              </a:lnTo>
              <a:close/>
            </a:path>
          </a:pathLst>
        </a:custGeom>
        <a:solidFill>
          <a:srgbClr val="519674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13</xdr:col>
      <xdr:colOff>76199</xdr:colOff>
      <xdr:row>22</xdr:row>
      <xdr:rowOff>180975</xdr:rowOff>
    </xdr:from>
    <xdr:to>
      <xdr:col>14</xdr:col>
      <xdr:colOff>92324</xdr:colOff>
      <xdr:row>23</xdr:row>
      <xdr:rowOff>152400</xdr:rowOff>
    </xdr:to>
    <xdr:sp macro="" textlink="">
      <xdr:nvSpPr>
        <xdr:cNvPr id="7" name="Right Arrow 1"/>
        <xdr:cNvSpPr/>
      </xdr:nvSpPr>
      <xdr:spPr>
        <a:xfrm>
          <a:off x="9610724" y="4305300"/>
          <a:ext cx="568575" cy="161925"/>
        </a:xfrm>
        <a:custGeom>
          <a:avLst/>
          <a:gdLst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2861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4766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409700" h="657225">
              <a:moveTo>
                <a:pt x="0" y="164306"/>
              </a:moveTo>
              <a:lnTo>
                <a:pt x="1081088" y="164306"/>
              </a:lnTo>
              <a:lnTo>
                <a:pt x="1081088" y="0"/>
              </a:lnTo>
              <a:lnTo>
                <a:pt x="1409700" y="347663"/>
              </a:lnTo>
              <a:lnTo>
                <a:pt x="1081088" y="657225"/>
              </a:lnTo>
              <a:lnTo>
                <a:pt x="1081088" y="492919"/>
              </a:lnTo>
              <a:lnTo>
                <a:pt x="0" y="492919"/>
              </a:lnTo>
              <a:lnTo>
                <a:pt x="0" y="164306"/>
              </a:lnTo>
              <a:close/>
            </a:path>
          </a:pathLst>
        </a:custGeom>
        <a:solidFill>
          <a:schemeClr val="tx1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oneCellAnchor>
    <xdr:from>
      <xdr:col>14</xdr:col>
      <xdr:colOff>190500</xdr:colOff>
      <xdr:row>22</xdr:row>
      <xdr:rowOff>161924</xdr:rowOff>
    </xdr:from>
    <xdr:ext cx="1857375" cy="1125693"/>
    <xdr:sp macro="" textlink="">
      <xdr:nvSpPr>
        <xdr:cNvPr id="8" name="TextBox 7"/>
        <xdr:cNvSpPr txBox="1"/>
      </xdr:nvSpPr>
      <xdr:spPr>
        <a:xfrm>
          <a:off x="10277475" y="4286249"/>
          <a:ext cx="1857375" cy="1125693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This is the</a:t>
          </a:r>
          <a:r>
            <a:rPr lang="en-GB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budgeted amount and not actual distribution. </a:t>
          </a:r>
          <a:r>
            <a:rPr lang="en-GB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The</a:t>
          </a:r>
          <a:r>
            <a:rPr lang="en-GB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 distribution</a:t>
          </a:r>
          <a:r>
            <a:rPr lang="en-GB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will be based on the actual surplus at the end of the project, not the budgeted distribution.</a:t>
          </a:r>
          <a:endParaRPr lang="en-AU" sz="1100">
            <a:solidFill>
              <a:schemeClr val="bg1"/>
            </a:solidFill>
          </a:endParaRPr>
        </a:p>
      </xdr:txBody>
    </xdr:sp>
    <xdr:clientData/>
  </xdr:oneCellAnchor>
  <xdr:twoCellAnchor editAs="oneCell">
    <xdr:from>
      <xdr:col>3</xdr:col>
      <xdr:colOff>2409826</xdr:colOff>
      <xdr:row>2</xdr:row>
      <xdr:rowOff>38101</xdr:rowOff>
    </xdr:from>
    <xdr:to>
      <xdr:col>5</xdr:col>
      <xdr:colOff>762001</xdr:colOff>
      <xdr:row>3</xdr:row>
      <xdr:rowOff>158526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6" y="142876"/>
          <a:ext cx="1409700" cy="415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161926</xdr:colOff>
      <xdr:row>5</xdr:row>
      <xdr:rowOff>28574</xdr:rowOff>
    </xdr:from>
    <xdr:ext cx="3114674" cy="1152526"/>
    <xdr:sp macro="" textlink="">
      <xdr:nvSpPr>
        <xdr:cNvPr id="10" name="TextBox 9"/>
        <xdr:cNvSpPr txBox="1"/>
      </xdr:nvSpPr>
      <xdr:spPr>
        <a:xfrm>
          <a:off x="6705601" y="1162049"/>
          <a:ext cx="3114674" cy="1152526"/>
        </a:xfrm>
        <a:prstGeom prst="rect">
          <a:avLst/>
        </a:prstGeom>
        <a:solidFill>
          <a:srgbClr val="F0572A"/>
        </a:solidFill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GB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If you have not yet transferred salary</a:t>
          </a:r>
          <a:r>
            <a:rPr lang="en-GB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costs related to the delivery of this OPA from your School/Section </a:t>
          </a:r>
          <a:r>
            <a:rPr lang="en-GB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to the OPA GL account codes, please complete the Internal Salary Cost </a:t>
          </a:r>
          <a:r>
            <a:rPr lang="en-AU"/>
            <a:t>R</a:t>
          </a:r>
          <a:r>
            <a:rPr lang="en-GB" sz="11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ecovery</a:t>
          </a:r>
          <a:r>
            <a:rPr lang="en-GB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section below.</a:t>
          </a:r>
        </a:p>
        <a:p>
          <a:r>
            <a:rPr lang="en-GB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Please contact: budget@csu.edu.au for assistance.</a:t>
          </a:r>
          <a:endParaRPr lang="en-AU" sz="1100">
            <a:solidFill>
              <a:schemeClr val="bg1"/>
            </a:solidFill>
          </a:endParaRPr>
        </a:p>
      </xdr:txBody>
    </xdr:sp>
    <xdr:clientData/>
  </xdr:oneCellAnchor>
  <xdr:twoCellAnchor>
    <xdr:from>
      <xdr:col>8</xdr:col>
      <xdr:colOff>123825</xdr:colOff>
      <xdr:row>7</xdr:row>
      <xdr:rowOff>9525</xdr:rowOff>
    </xdr:from>
    <xdr:to>
      <xdr:col>9</xdr:col>
      <xdr:colOff>54225</xdr:colOff>
      <xdr:row>7</xdr:row>
      <xdr:rowOff>171450</xdr:rowOff>
    </xdr:to>
    <xdr:sp macro="" textlink="">
      <xdr:nvSpPr>
        <xdr:cNvPr id="4" name="Right Arrow 1"/>
        <xdr:cNvSpPr/>
      </xdr:nvSpPr>
      <xdr:spPr>
        <a:xfrm>
          <a:off x="6638925" y="1524000"/>
          <a:ext cx="540000" cy="161925"/>
        </a:xfrm>
        <a:custGeom>
          <a:avLst/>
          <a:gdLst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2861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4766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409700" h="657225">
              <a:moveTo>
                <a:pt x="0" y="164306"/>
              </a:moveTo>
              <a:lnTo>
                <a:pt x="1081088" y="164306"/>
              </a:lnTo>
              <a:lnTo>
                <a:pt x="1081088" y="0"/>
              </a:lnTo>
              <a:lnTo>
                <a:pt x="1409700" y="347663"/>
              </a:lnTo>
              <a:lnTo>
                <a:pt x="1081088" y="657225"/>
              </a:lnTo>
              <a:lnTo>
                <a:pt x="1081088" y="492919"/>
              </a:lnTo>
              <a:lnTo>
                <a:pt x="0" y="492919"/>
              </a:lnTo>
              <a:lnTo>
                <a:pt x="0" y="164306"/>
              </a:lnTo>
              <a:close/>
            </a:path>
          </a:pathLst>
        </a:custGeom>
        <a:solidFill>
          <a:srgbClr val="519674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 editAs="oneCell">
    <xdr:from>
      <xdr:col>5</xdr:col>
      <xdr:colOff>419100</xdr:colOff>
      <xdr:row>3</xdr:row>
      <xdr:rowOff>47625</xdr:rowOff>
    </xdr:from>
    <xdr:to>
      <xdr:col>7</xdr:col>
      <xdr:colOff>638175</xdr:colOff>
      <xdr:row>4</xdr:row>
      <xdr:rowOff>149000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4350" y="676275"/>
          <a:ext cx="1409700" cy="415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485775</xdr:colOff>
      <xdr:row>3</xdr:row>
      <xdr:rowOff>447675</xdr:rowOff>
    </xdr:from>
    <xdr:to>
      <xdr:col>36</xdr:col>
      <xdr:colOff>237242</xdr:colOff>
      <xdr:row>56</xdr:row>
      <xdr:rowOff>142175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11775" y="1038225"/>
          <a:ext cx="7066667" cy="5600000"/>
        </a:xfrm>
        <a:prstGeom prst="rect">
          <a:avLst/>
        </a:prstGeom>
      </xdr:spPr>
    </xdr:pic>
    <xdr:clientData/>
  </xdr:twoCellAnchor>
  <xdr:twoCellAnchor editAs="oneCell">
    <xdr:from>
      <xdr:col>34</xdr:col>
      <xdr:colOff>485775</xdr:colOff>
      <xdr:row>5</xdr:row>
      <xdr:rowOff>133350</xdr:rowOff>
    </xdr:from>
    <xdr:to>
      <xdr:col>40</xdr:col>
      <xdr:colOff>332937</xdr:colOff>
      <xdr:row>25</xdr:row>
      <xdr:rowOff>151921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107775" y="1676400"/>
          <a:ext cx="3504762" cy="38285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123826</xdr:colOff>
      <xdr:row>5</xdr:row>
      <xdr:rowOff>152400</xdr:rowOff>
    </xdr:from>
    <xdr:to>
      <xdr:col>3</xdr:col>
      <xdr:colOff>409576</xdr:colOff>
      <xdr:row>10</xdr:row>
      <xdr:rowOff>57150</xdr:rowOff>
    </xdr:to>
    <xdr:sp macro="" textlink="">
      <xdr:nvSpPr>
        <xdr:cNvPr id="2" name="Rectangle 1"/>
        <xdr:cNvSpPr/>
      </xdr:nvSpPr>
      <xdr:spPr>
        <a:xfrm>
          <a:off x="476251" y="1476375"/>
          <a:ext cx="1295400" cy="857250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100">
              <a:solidFill>
                <a:sysClr val="windowText" lastClr="000000"/>
              </a:solidFill>
            </a:rPr>
            <a:t>50% to the appropriate employee/s</a:t>
          </a:r>
          <a:r>
            <a:rPr lang="en-AU" sz="1100" baseline="0">
              <a:solidFill>
                <a:sysClr val="windowText" lastClr="000000"/>
              </a:solidFill>
            </a:rPr>
            <a:t> </a:t>
          </a:r>
          <a:endParaRPr lang="en-AU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171450</xdr:colOff>
      <xdr:row>11</xdr:row>
      <xdr:rowOff>161925</xdr:rowOff>
    </xdr:from>
    <xdr:to>
      <xdr:col>3</xdr:col>
      <xdr:colOff>390525</xdr:colOff>
      <xdr:row>16</xdr:row>
      <xdr:rowOff>133350</xdr:rowOff>
    </xdr:to>
    <xdr:sp macro="" textlink="">
      <xdr:nvSpPr>
        <xdr:cNvPr id="3" name="Rectangle 2"/>
        <xdr:cNvSpPr/>
      </xdr:nvSpPr>
      <xdr:spPr>
        <a:xfrm>
          <a:off x="523875" y="2628900"/>
          <a:ext cx="1228725" cy="923925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100">
              <a:solidFill>
                <a:sysClr val="windowText" lastClr="000000"/>
              </a:solidFill>
            </a:rPr>
            <a:t>25% to the appropriate Faculty, Division or Centre;</a:t>
          </a:r>
        </a:p>
      </xdr:txBody>
    </xdr:sp>
    <xdr:clientData/>
  </xdr:twoCellAnchor>
  <xdr:twoCellAnchor>
    <xdr:from>
      <xdr:col>1</xdr:col>
      <xdr:colOff>133350</xdr:colOff>
      <xdr:row>20</xdr:row>
      <xdr:rowOff>133350</xdr:rowOff>
    </xdr:from>
    <xdr:to>
      <xdr:col>3</xdr:col>
      <xdr:colOff>352425</xdr:colOff>
      <xdr:row>25</xdr:row>
      <xdr:rowOff>95249</xdr:rowOff>
    </xdr:to>
    <xdr:sp macro="" textlink="">
      <xdr:nvSpPr>
        <xdr:cNvPr id="4" name="Rectangle 3"/>
        <xdr:cNvSpPr/>
      </xdr:nvSpPr>
      <xdr:spPr>
        <a:xfrm>
          <a:off x="485775" y="4314825"/>
          <a:ext cx="1228725" cy="914399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100">
              <a:solidFill>
                <a:sysClr val="windowText" lastClr="000000"/>
              </a:solidFill>
            </a:rPr>
            <a:t>25% to University accounts nominated by the Vice-Chancellor.</a:t>
          </a:r>
        </a:p>
      </xdr:txBody>
    </xdr:sp>
    <xdr:clientData/>
  </xdr:twoCellAnchor>
  <xdr:twoCellAnchor>
    <xdr:from>
      <xdr:col>4</xdr:col>
      <xdr:colOff>209550</xdr:colOff>
      <xdr:row>8</xdr:row>
      <xdr:rowOff>152400</xdr:rowOff>
    </xdr:from>
    <xdr:to>
      <xdr:col>6</xdr:col>
      <xdr:colOff>323850</xdr:colOff>
      <xdr:row>14</xdr:row>
      <xdr:rowOff>190499</xdr:rowOff>
    </xdr:to>
    <xdr:sp macro="" textlink="">
      <xdr:nvSpPr>
        <xdr:cNvPr id="6" name="Rectangle 5"/>
        <xdr:cNvSpPr/>
      </xdr:nvSpPr>
      <xdr:spPr>
        <a:xfrm>
          <a:off x="800100" y="2047875"/>
          <a:ext cx="1343025" cy="1181099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1">
              <a:solidFill>
                <a:sysClr val="windowText" lastClr="000000"/>
              </a:solidFill>
            </a:rPr>
            <a:t>Surplus</a:t>
          </a:r>
          <a:r>
            <a:rPr lang="en-AU" sz="1100" b="1" baseline="0">
              <a:solidFill>
                <a:sysClr val="windowText" lastClr="000000"/>
              </a:solidFill>
            </a:rPr>
            <a:t> Breakdown: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 sz="1100" b="1" baseline="0">
            <a:solidFill>
              <a:sysClr val="windowText" lastClr="000000"/>
            </a:solidFill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0">
              <a:solidFill>
                <a:sysClr val="windowText" lastClr="000000"/>
              </a:solidFill>
            </a:rPr>
            <a:t>67% Employee 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AU" sz="1100" b="0">
            <a:solidFill>
              <a:sysClr val="windowText" lastClr="000000"/>
            </a:solidFill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33%</a:t>
          </a:r>
          <a:r>
            <a:rPr lang="en-AU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AU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Fac/School </a:t>
          </a:r>
          <a:endParaRPr lang="en-AU" sz="11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171451</xdr:colOff>
      <xdr:row>20</xdr:row>
      <xdr:rowOff>180975</xdr:rowOff>
    </xdr:from>
    <xdr:to>
      <xdr:col>6</xdr:col>
      <xdr:colOff>428626</xdr:colOff>
      <xdr:row>26</xdr:row>
      <xdr:rowOff>76200</xdr:rowOff>
    </xdr:to>
    <xdr:sp macro="" textlink="">
      <xdr:nvSpPr>
        <xdr:cNvPr id="8" name="Rectangle 7"/>
        <xdr:cNvSpPr/>
      </xdr:nvSpPr>
      <xdr:spPr>
        <a:xfrm>
          <a:off x="1181101" y="4362450"/>
          <a:ext cx="1485900" cy="1038225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100" b="1" baseline="0">
              <a:solidFill>
                <a:sysClr val="windowText" lastClr="000000"/>
              </a:solidFill>
            </a:rPr>
            <a:t>Levy: </a:t>
          </a:r>
          <a:r>
            <a:rPr lang="en-AU" sz="1100" baseline="0">
              <a:solidFill>
                <a:sysClr val="windowText" lastClr="000000"/>
              </a:solidFill>
            </a:rPr>
            <a:t>The existing + active Competitive Neutrality (CN) Policy states 15% is to be charged.</a:t>
          </a:r>
          <a:endParaRPr lang="en-AU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238125</xdr:colOff>
      <xdr:row>4</xdr:row>
      <xdr:rowOff>76201</xdr:rowOff>
    </xdr:from>
    <xdr:to>
      <xdr:col>11</xdr:col>
      <xdr:colOff>390525</xdr:colOff>
      <xdr:row>18</xdr:row>
      <xdr:rowOff>19050</xdr:rowOff>
    </xdr:to>
    <xdr:sp macro="" textlink="">
      <xdr:nvSpPr>
        <xdr:cNvPr id="12" name="Rectangle 11"/>
        <xdr:cNvSpPr/>
      </xdr:nvSpPr>
      <xdr:spPr>
        <a:xfrm>
          <a:off x="4572000" y="1285876"/>
          <a:ext cx="1552575" cy="2533649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 b="1">
              <a:solidFill>
                <a:sysClr val="windowText" lastClr="000000"/>
              </a:solidFill>
            </a:rPr>
            <a:t>BUDGTED SURPLUS: </a:t>
          </a:r>
          <a:r>
            <a:rPr lang="en-AU" sz="1100">
              <a:solidFill>
                <a:sysClr val="windowText" lastClr="000000"/>
              </a:solidFill>
            </a:rPr>
            <a:t>OPA Staff member to apply a Budgeted</a:t>
          </a:r>
          <a:r>
            <a:rPr lang="en-AU" sz="1100" baseline="0">
              <a:solidFill>
                <a:sysClr val="windowText" lastClr="000000"/>
              </a:solidFill>
            </a:rPr>
            <a:t> S</a:t>
          </a:r>
          <a:r>
            <a:rPr lang="en-AU" sz="1100">
              <a:solidFill>
                <a:sysClr val="windowText" lastClr="000000"/>
              </a:solidFill>
            </a:rPr>
            <a:t>urplus in the OPA Budget Template by</a:t>
          </a:r>
          <a:r>
            <a:rPr lang="en-AU" sz="1100" baseline="0">
              <a:solidFill>
                <a:sysClr val="windowText" lastClr="000000"/>
              </a:solidFill>
            </a:rPr>
            <a:t> entering a $ Amount. This amount is a BUDGET. The Actual result will differ.</a:t>
          </a:r>
          <a:br>
            <a:rPr lang="en-AU" sz="1100" baseline="0">
              <a:solidFill>
                <a:sysClr val="windowText" lastClr="000000"/>
              </a:solidFill>
            </a:rPr>
          </a:br>
          <a:r>
            <a:rPr lang="en-AU" sz="1100" baseline="0">
              <a:solidFill>
                <a:sysClr val="windowText" lastClr="000000"/>
              </a:solidFill>
            </a:rPr>
            <a:t/>
          </a:r>
          <a:br>
            <a:rPr lang="en-AU" sz="1100" baseline="0">
              <a:solidFill>
                <a:sysClr val="windowText" lastClr="000000"/>
              </a:solidFill>
            </a:rPr>
          </a:br>
          <a:r>
            <a:rPr lang="en-AU" sz="1100" baseline="0">
              <a:solidFill>
                <a:sysClr val="windowText" lastClr="000000"/>
              </a:solidFill>
            </a:rPr>
            <a:t>This Budgeted Surplus is in addition to the 15% CN below.</a:t>
          </a:r>
          <a:endParaRPr lang="en-AU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447676</xdr:colOff>
      <xdr:row>5</xdr:row>
      <xdr:rowOff>66675</xdr:rowOff>
    </xdr:from>
    <xdr:to>
      <xdr:col>12</xdr:col>
      <xdr:colOff>190500</xdr:colOff>
      <xdr:row>6</xdr:row>
      <xdr:rowOff>161925</xdr:rowOff>
    </xdr:to>
    <xdr:sp macro="" textlink="">
      <xdr:nvSpPr>
        <xdr:cNvPr id="13" name="Right Arrow 12"/>
        <xdr:cNvSpPr/>
      </xdr:nvSpPr>
      <xdr:spPr>
        <a:xfrm>
          <a:off x="7153276" y="828675"/>
          <a:ext cx="352424" cy="285750"/>
        </a:xfrm>
        <a:prstGeom prst="rightArrow">
          <a:avLst/>
        </a:prstGeom>
        <a:solidFill>
          <a:srgbClr val="DE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12</xdr:col>
      <xdr:colOff>257174</xdr:colOff>
      <xdr:row>5</xdr:row>
      <xdr:rowOff>0</xdr:rowOff>
    </xdr:from>
    <xdr:to>
      <xdr:col>15</xdr:col>
      <xdr:colOff>371475</xdr:colOff>
      <xdr:row>7</xdr:row>
      <xdr:rowOff>85725</xdr:rowOff>
    </xdr:to>
    <xdr:sp macro="" textlink="">
      <xdr:nvSpPr>
        <xdr:cNvPr id="14" name="Rectangle 13"/>
        <xdr:cNvSpPr/>
      </xdr:nvSpPr>
      <xdr:spPr>
        <a:xfrm>
          <a:off x="6248399" y="1323975"/>
          <a:ext cx="1819276" cy="466725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>
              <a:solidFill>
                <a:sysClr val="windowText" lastClr="000000"/>
              </a:solidFill>
            </a:rPr>
            <a:t>The Budgeted Surplus</a:t>
          </a:r>
          <a:r>
            <a:rPr lang="en-AU" sz="1100" baseline="0">
              <a:solidFill>
                <a:sysClr val="windowText" lastClr="000000"/>
              </a:solidFill>
            </a:rPr>
            <a:t> is to be split as follows:</a:t>
          </a:r>
          <a:endParaRPr lang="en-AU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200025</xdr:colOff>
      <xdr:row>21</xdr:row>
      <xdr:rowOff>28574</xdr:rowOff>
    </xdr:from>
    <xdr:to>
      <xdr:col>20</xdr:col>
      <xdr:colOff>561975</xdr:colOff>
      <xdr:row>26</xdr:row>
      <xdr:rowOff>95249</xdr:rowOff>
    </xdr:to>
    <xdr:sp macro="" textlink="">
      <xdr:nvSpPr>
        <xdr:cNvPr id="15" name="Rectangle 14"/>
        <xdr:cNvSpPr/>
      </xdr:nvSpPr>
      <xdr:spPr>
        <a:xfrm>
          <a:off x="4533900" y="4400549"/>
          <a:ext cx="7753350" cy="1019175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100" b="1">
              <a:solidFill>
                <a:sysClr val="windowText" lastClr="000000"/>
              </a:solidFill>
            </a:rPr>
            <a:t>LEVY: </a:t>
          </a:r>
          <a:r>
            <a:rPr lang="en-AU" sz="1100" b="0">
              <a:solidFill>
                <a:sysClr val="windowText" lastClr="000000"/>
              </a:solidFill>
            </a:rPr>
            <a:t>The</a:t>
          </a:r>
          <a:r>
            <a:rPr lang="en-AU" sz="1100" b="0" baseline="0">
              <a:solidFill>
                <a:sysClr val="windowText" lastClr="000000"/>
              </a:solidFill>
            </a:rPr>
            <a:t> Levy will be automatically calculated in the OPA Template at preliminary Budget stage.</a:t>
          </a:r>
          <a:br>
            <a:rPr lang="en-AU" sz="1100" b="0" baseline="0">
              <a:solidFill>
                <a:sysClr val="windowText" lastClr="000000"/>
              </a:solidFill>
            </a:rPr>
          </a:br>
          <a:r>
            <a:rPr lang="en-AU" sz="1100" b="0" baseline="0">
              <a:solidFill>
                <a:sysClr val="windowText" lastClr="000000"/>
              </a:solidFill>
            </a:rPr>
            <a:t/>
          </a:r>
          <a:br>
            <a:rPr lang="en-AU" sz="1100" b="0" baseline="0">
              <a:solidFill>
                <a:sysClr val="windowText" lastClr="000000"/>
              </a:solidFill>
            </a:rPr>
          </a:br>
          <a:r>
            <a:rPr lang="en-AU" sz="1100" b="0" baseline="0">
              <a:solidFill>
                <a:sysClr val="windowText" lastClr="000000"/>
              </a:solidFill>
            </a:rPr>
            <a:t> </a:t>
          </a:r>
          <a:r>
            <a:rPr lang="en-AU" sz="1100">
              <a:solidFill>
                <a:sysClr val="windowText" lastClr="000000"/>
              </a:solidFill>
            </a:rPr>
            <a:t>When the income is actually receipted by</a:t>
          </a:r>
          <a:r>
            <a:rPr lang="en-AU" sz="1100" baseline="0">
              <a:solidFill>
                <a:sysClr val="windowText" lastClr="000000"/>
              </a:solidFill>
            </a:rPr>
            <a:t> </a:t>
          </a:r>
          <a:r>
            <a:rPr lang="en-AU" sz="1100">
              <a:solidFill>
                <a:sysClr val="windowText" lastClr="000000"/>
              </a:solidFill>
            </a:rPr>
            <a:t>Ledgers</a:t>
          </a:r>
          <a:r>
            <a:rPr lang="en-AU" sz="1100" baseline="0">
              <a:solidFill>
                <a:sysClr val="windowText" lastClr="000000"/>
              </a:solidFill>
            </a:rPr>
            <a:t> staff, 15% of the total income is distributed (at commencement of the OPA Activity) into the Infrastructure Fund.</a:t>
          </a:r>
          <a:endParaRPr lang="en-AU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47625</xdr:colOff>
      <xdr:row>14</xdr:row>
      <xdr:rowOff>123825</xdr:rowOff>
    </xdr:from>
    <xdr:to>
      <xdr:col>18</xdr:col>
      <xdr:colOff>238124</xdr:colOff>
      <xdr:row>17</xdr:row>
      <xdr:rowOff>19050</xdr:rowOff>
    </xdr:to>
    <xdr:sp macro="" textlink="">
      <xdr:nvSpPr>
        <xdr:cNvPr id="16" name="Rectangle 15"/>
        <xdr:cNvSpPr/>
      </xdr:nvSpPr>
      <xdr:spPr>
        <a:xfrm>
          <a:off x="8963025" y="3162300"/>
          <a:ext cx="1162049" cy="466725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100">
              <a:solidFill>
                <a:sysClr val="windowText" lastClr="000000"/>
              </a:solidFill>
            </a:rPr>
            <a:t>Nominate a % for the Faculty </a:t>
          </a:r>
        </a:p>
      </xdr:txBody>
    </xdr:sp>
    <xdr:clientData/>
  </xdr:twoCellAnchor>
  <xdr:twoCellAnchor>
    <xdr:from>
      <xdr:col>17</xdr:col>
      <xdr:colOff>47624</xdr:colOff>
      <xdr:row>17</xdr:row>
      <xdr:rowOff>114300</xdr:rowOff>
    </xdr:from>
    <xdr:to>
      <xdr:col>18</xdr:col>
      <xdr:colOff>255107</xdr:colOff>
      <xdr:row>20</xdr:row>
      <xdr:rowOff>28575</xdr:rowOff>
    </xdr:to>
    <xdr:sp macro="" textlink="">
      <xdr:nvSpPr>
        <xdr:cNvPr id="17" name="Rectangle 16"/>
        <xdr:cNvSpPr/>
      </xdr:nvSpPr>
      <xdr:spPr>
        <a:xfrm>
          <a:off x="8963024" y="3724275"/>
          <a:ext cx="1179033" cy="485775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100">
              <a:solidFill>
                <a:sysClr val="windowText" lastClr="000000"/>
              </a:solidFill>
            </a:rPr>
            <a:t>The remainder is for the School</a:t>
          </a:r>
        </a:p>
      </xdr:txBody>
    </xdr:sp>
    <xdr:clientData/>
  </xdr:twoCellAnchor>
  <xdr:twoCellAnchor>
    <xdr:from>
      <xdr:col>15</xdr:col>
      <xdr:colOff>419100</xdr:colOff>
      <xdr:row>10</xdr:row>
      <xdr:rowOff>180975</xdr:rowOff>
    </xdr:from>
    <xdr:to>
      <xdr:col>16</xdr:col>
      <xdr:colOff>142875</xdr:colOff>
      <xdr:row>12</xdr:row>
      <xdr:rowOff>85725</xdr:rowOff>
    </xdr:to>
    <xdr:sp macro="" textlink="">
      <xdr:nvSpPr>
        <xdr:cNvPr id="18" name="Right Arrow 17"/>
        <xdr:cNvSpPr/>
      </xdr:nvSpPr>
      <xdr:spPr>
        <a:xfrm>
          <a:off x="8115300" y="2457450"/>
          <a:ext cx="333375" cy="285750"/>
        </a:xfrm>
        <a:prstGeom prst="rightArrow">
          <a:avLst/>
        </a:prstGeom>
        <a:solidFill>
          <a:srgbClr val="DE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13</xdr:col>
      <xdr:colOff>228600</xdr:colOff>
      <xdr:row>7</xdr:row>
      <xdr:rowOff>180975</xdr:rowOff>
    </xdr:from>
    <xdr:to>
      <xdr:col>15</xdr:col>
      <xdr:colOff>371475</xdr:colOff>
      <xdr:row>10</xdr:row>
      <xdr:rowOff>95250</xdr:rowOff>
    </xdr:to>
    <xdr:sp macro="" textlink="">
      <xdr:nvSpPr>
        <xdr:cNvPr id="19" name="Rectangle 18"/>
        <xdr:cNvSpPr/>
      </xdr:nvSpPr>
      <xdr:spPr>
        <a:xfrm>
          <a:off x="6705600" y="1885950"/>
          <a:ext cx="1362075" cy="485775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eaLnBrk="1" fontAlgn="auto" latinLnBrk="0" hangingPunct="1"/>
          <a:r>
            <a:rPr lang="en-AU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67% Employee Utilisation</a:t>
          </a:r>
          <a:endParaRPr lang="en-AU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13</xdr:col>
      <xdr:colOff>228602</xdr:colOff>
      <xdr:row>10</xdr:row>
      <xdr:rowOff>142876</xdr:rowOff>
    </xdr:from>
    <xdr:to>
      <xdr:col>15</xdr:col>
      <xdr:colOff>352425</xdr:colOff>
      <xdr:row>13</xdr:row>
      <xdr:rowOff>66675</xdr:rowOff>
    </xdr:to>
    <xdr:sp macro="" textlink="">
      <xdr:nvSpPr>
        <xdr:cNvPr id="20" name="Rectangle 19"/>
        <xdr:cNvSpPr/>
      </xdr:nvSpPr>
      <xdr:spPr>
        <a:xfrm>
          <a:off x="6705602" y="2419351"/>
          <a:ext cx="1343023" cy="495299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33%</a:t>
          </a:r>
          <a:r>
            <a:rPr lang="en-AU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Faculty &amp; School Utilisation</a:t>
          </a:r>
          <a:endParaRPr lang="en-AU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18</xdr:col>
      <xdr:colOff>381000</xdr:colOff>
      <xdr:row>4</xdr:row>
      <xdr:rowOff>104775</xdr:rowOff>
    </xdr:from>
    <xdr:to>
      <xdr:col>20</xdr:col>
      <xdr:colOff>561975</xdr:colOff>
      <xdr:row>20</xdr:row>
      <xdr:rowOff>19050</xdr:rowOff>
    </xdr:to>
    <xdr:sp macro="" textlink="">
      <xdr:nvSpPr>
        <xdr:cNvPr id="21" name="Rectangle 20"/>
        <xdr:cNvSpPr/>
      </xdr:nvSpPr>
      <xdr:spPr>
        <a:xfrm>
          <a:off x="11353800" y="676275"/>
          <a:ext cx="1400175" cy="2962275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>
              <a:solidFill>
                <a:sysClr val="windowText" lastClr="000000"/>
              </a:solidFill>
            </a:rPr>
            <a:t>When the</a:t>
          </a:r>
          <a:r>
            <a:rPr lang="en-AU" sz="1100" baseline="0">
              <a:solidFill>
                <a:sysClr val="windowText" lastClr="000000"/>
              </a:solidFill>
            </a:rPr>
            <a:t> OPA Activity is complete and the overall surplus (income less all expenditure) is known, the Staff member must work with the Faculty Finance Officer to have the Employee/ Faculty/ School Distributions processed. </a:t>
          </a:r>
          <a:br>
            <a:rPr lang="en-AU" sz="1100" baseline="0">
              <a:solidFill>
                <a:sysClr val="windowText" lastClr="000000"/>
              </a:solidFill>
            </a:rPr>
          </a:br>
          <a:r>
            <a:rPr lang="en-AU" sz="1100" baseline="0">
              <a:solidFill>
                <a:sysClr val="windowText" lastClr="000000"/>
              </a:solidFill>
            </a:rPr>
            <a:t/>
          </a:r>
          <a:br>
            <a:rPr lang="en-AU" sz="1100" baseline="0">
              <a:solidFill>
                <a:sysClr val="windowText" lastClr="000000"/>
              </a:solidFill>
            </a:rPr>
          </a:br>
          <a:r>
            <a:rPr lang="en-AU" sz="1100" baseline="0">
              <a:solidFill>
                <a:sysClr val="windowText" lastClr="000000"/>
              </a:solidFill>
            </a:rPr>
            <a:t>The actual amounts will be based on the actual surplus not the Budgeted Surplus.</a:t>
          </a:r>
          <a:endParaRPr lang="en-AU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16</xdr:col>
      <xdr:colOff>180975</xdr:colOff>
      <xdr:row>9</xdr:row>
      <xdr:rowOff>142875</xdr:rowOff>
    </xdr:from>
    <xdr:to>
      <xdr:col>18</xdr:col>
      <xdr:colOff>247650</xdr:colOff>
      <xdr:row>14</xdr:row>
      <xdr:rowOff>9525</xdr:rowOff>
    </xdr:to>
    <xdr:sp macro="" textlink="">
      <xdr:nvSpPr>
        <xdr:cNvPr id="22" name="Rectangle 21"/>
        <xdr:cNvSpPr/>
      </xdr:nvSpPr>
      <xdr:spPr>
        <a:xfrm>
          <a:off x="8486775" y="2228850"/>
          <a:ext cx="1647825" cy="819150"/>
        </a:xfrm>
        <a:prstGeom prst="rect">
          <a:avLst/>
        </a:prstGeom>
        <a:solidFill>
          <a:sysClr val="window" lastClr="FFFFFF"/>
        </a:solidFill>
        <a:ln w="28575">
          <a:solidFill>
            <a:srgbClr val="C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AU" sz="1100">
              <a:solidFill>
                <a:sysClr val="windowText" lastClr="000000"/>
              </a:solidFill>
            </a:rPr>
            <a:t>You also need to nominate the intended Faculty/School</a:t>
          </a:r>
          <a:r>
            <a:rPr lang="en-AU" sz="1100" baseline="0">
              <a:solidFill>
                <a:sysClr val="windowText" lastClr="000000"/>
              </a:solidFill>
            </a:rPr>
            <a:t> split</a:t>
          </a:r>
          <a:r>
            <a:rPr lang="en-AU" sz="1100">
              <a:solidFill>
                <a:sysClr val="windowText" lastClr="000000"/>
              </a:solidFill>
            </a:rPr>
            <a:t>:</a:t>
          </a:r>
        </a:p>
      </xdr:txBody>
    </xdr:sp>
    <xdr:clientData/>
  </xdr:twoCellAnchor>
  <xdr:twoCellAnchor>
    <xdr:from>
      <xdr:col>12</xdr:col>
      <xdr:colOff>400050</xdr:colOff>
      <xdr:row>8</xdr:row>
      <xdr:rowOff>47625</xdr:rowOff>
    </xdr:from>
    <xdr:to>
      <xdr:col>13</xdr:col>
      <xdr:colOff>161925</xdr:colOff>
      <xdr:row>9</xdr:row>
      <xdr:rowOff>142875</xdr:rowOff>
    </xdr:to>
    <xdr:sp macro="" textlink="">
      <xdr:nvSpPr>
        <xdr:cNvPr id="23" name="Right Arrow 22"/>
        <xdr:cNvSpPr/>
      </xdr:nvSpPr>
      <xdr:spPr>
        <a:xfrm>
          <a:off x="7715250" y="1381125"/>
          <a:ext cx="371475" cy="285750"/>
        </a:xfrm>
        <a:prstGeom prst="rightArrow">
          <a:avLst/>
        </a:prstGeom>
        <a:solidFill>
          <a:srgbClr val="DE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12</xdr:col>
      <xdr:colOff>381000</xdr:colOff>
      <xdr:row>10</xdr:row>
      <xdr:rowOff>171450</xdr:rowOff>
    </xdr:from>
    <xdr:to>
      <xdr:col>13</xdr:col>
      <xdr:colOff>171450</xdr:colOff>
      <xdr:row>12</xdr:row>
      <xdr:rowOff>76200</xdr:rowOff>
    </xdr:to>
    <xdr:sp macro="" textlink="">
      <xdr:nvSpPr>
        <xdr:cNvPr id="24" name="Right Arrow 23"/>
        <xdr:cNvSpPr/>
      </xdr:nvSpPr>
      <xdr:spPr>
        <a:xfrm>
          <a:off x="7696200" y="1885950"/>
          <a:ext cx="400050" cy="285750"/>
        </a:xfrm>
        <a:prstGeom prst="rightArrow">
          <a:avLst/>
        </a:prstGeom>
        <a:solidFill>
          <a:srgbClr val="DE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16</xdr:col>
      <xdr:colOff>161925</xdr:colOff>
      <xdr:row>15</xdr:row>
      <xdr:rowOff>28575</xdr:rowOff>
    </xdr:from>
    <xdr:to>
      <xdr:col>16</xdr:col>
      <xdr:colOff>495300</xdr:colOff>
      <xdr:row>16</xdr:row>
      <xdr:rowOff>123825</xdr:rowOff>
    </xdr:to>
    <xdr:sp macro="" textlink="">
      <xdr:nvSpPr>
        <xdr:cNvPr id="25" name="Right Arrow 24"/>
        <xdr:cNvSpPr/>
      </xdr:nvSpPr>
      <xdr:spPr>
        <a:xfrm>
          <a:off x="9915525" y="2695575"/>
          <a:ext cx="333375" cy="285750"/>
        </a:xfrm>
        <a:prstGeom prst="rightArrow">
          <a:avLst/>
        </a:prstGeom>
        <a:solidFill>
          <a:srgbClr val="DE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16</xdr:col>
      <xdr:colOff>171450</xdr:colOff>
      <xdr:row>18</xdr:row>
      <xdr:rowOff>19050</xdr:rowOff>
    </xdr:from>
    <xdr:to>
      <xdr:col>16</xdr:col>
      <xdr:colOff>504825</xdr:colOff>
      <xdr:row>19</xdr:row>
      <xdr:rowOff>114300</xdr:rowOff>
    </xdr:to>
    <xdr:sp macro="" textlink="">
      <xdr:nvSpPr>
        <xdr:cNvPr id="26" name="Right Arrow 25"/>
        <xdr:cNvSpPr/>
      </xdr:nvSpPr>
      <xdr:spPr>
        <a:xfrm>
          <a:off x="9925050" y="3257550"/>
          <a:ext cx="333375" cy="285750"/>
        </a:xfrm>
        <a:prstGeom prst="rightArrow">
          <a:avLst/>
        </a:prstGeom>
        <a:solidFill>
          <a:srgbClr val="DE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581024</xdr:colOff>
      <xdr:row>22</xdr:row>
      <xdr:rowOff>133350</xdr:rowOff>
    </xdr:from>
    <xdr:to>
      <xdr:col>8</xdr:col>
      <xdr:colOff>28575</xdr:colOff>
      <xdr:row>24</xdr:row>
      <xdr:rowOff>38100</xdr:rowOff>
    </xdr:to>
    <xdr:sp macro="" textlink="">
      <xdr:nvSpPr>
        <xdr:cNvPr id="27" name="Right Arrow 26"/>
        <xdr:cNvSpPr/>
      </xdr:nvSpPr>
      <xdr:spPr>
        <a:xfrm>
          <a:off x="4848224" y="4133850"/>
          <a:ext cx="666751" cy="285750"/>
        </a:xfrm>
        <a:prstGeom prst="rightArrow">
          <a:avLst/>
        </a:prstGeom>
        <a:solidFill>
          <a:srgbClr val="DE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12</xdr:col>
      <xdr:colOff>433387</xdr:colOff>
      <xdr:row>29</xdr:row>
      <xdr:rowOff>71438</xdr:rowOff>
    </xdr:from>
    <xdr:to>
      <xdr:col>14</xdr:col>
      <xdr:colOff>385762</xdr:colOff>
      <xdr:row>30</xdr:row>
      <xdr:rowOff>168938</xdr:rowOff>
    </xdr:to>
    <xdr:sp macro="" textlink="">
      <xdr:nvSpPr>
        <xdr:cNvPr id="35" name="Rectangle 34">
          <a:hlinkClick xmlns:r="http://schemas.openxmlformats.org/officeDocument/2006/relationships" r:id="rId1"/>
        </xdr:cNvPr>
        <xdr:cNvSpPr/>
      </xdr:nvSpPr>
      <xdr:spPr>
        <a:xfrm>
          <a:off x="4957762" y="6072188"/>
          <a:ext cx="1047750" cy="354675"/>
        </a:xfrm>
        <a:prstGeom prst="rect">
          <a:avLst/>
        </a:prstGeom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200" b="1"/>
            <a:t>OPA Budget</a:t>
          </a:r>
        </a:p>
      </xdr:txBody>
    </xdr:sp>
    <xdr:clientData/>
  </xdr:twoCellAnchor>
  <xdr:twoCellAnchor>
    <xdr:from>
      <xdr:col>16</xdr:col>
      <xdr:colOff>353614</xdr:colOff>
      <xdr:row>29</xdr:row>
      <xdr:rowOff>69056</xdr:rowOff>
    </xdr:from>
    <xdr:to>
      <xdr:col>18</xdr:col>
      <xdr:colOff>252411</xdr:colOff>
      <xdr:row>30</xdr:row>
      <xdr:rowOff>166556</xdr:rowOff>
    </xdr:to>
    <xdr:sp macro="" textlink="">
      <xdr:nvSpPr>
        <xdr:cNvPr id="36" name="Rectangle 35">
          <a:hlinkClick xmlns:r="http://schemas.openxmlformats.org/officeDocument/2006/relationships" r:id="rId2"/>
        </xdr:cNvPr>
        <xdr:cNvSpPr/>
      </xdr:nvSpPr>
      <xdr:spPr>
        <a:xfrm>
          <a:off x="7192564" y="6069806"/>
          <a:ext cx="1479947" cy="354675"/>
        </a:xfrm>
        <a:prstGeom prst="rect">
          <a:avLst/>
        </a:prstGeom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AU" sz="1200" b="1"/>
            <a:t>Non-Salary</a:t>
          </a:r>
          <a:r>
            <a:rPr lang="en-AU" sz="1200" b="1" baseline="0"/>
            <a:t>  Expense</a:t>
          </a:r>
          <a:endParaRPr lang="en-AU" sz="1200" b="1"/>
        </a:p>
      </xdr:txBody>
    </xdr:sp>
    <xdr:clientData/>
  </xdr:twoCellAnchor>
  <xdr:twoCellAnchor>
    <xdr:from>
      <xdr:col>14</xdr:col>
      <xdr:colOff>519111</xdr:colOff>
      <xdr:row>29</xdr:row>
      <xdr:rowOff>71438</xdr:rowOff>
    </xdr:from>
    <xdr:to>
      <xdr:col>16</xdr:col>
      <xdr:colOff>223837</xdr:colOff>
      <xdr:row>30</xdr:row>
      <xdr:rowOff>168938</xdr:rowOff>
    </xdr:to>
    <xdr:sp macro="" textlink="">
      <xdr:nvSpPr>
        <xdr:cNvPr id="37" name="Rectangle 36">
          <a:hlinkClick xmlns:r="http://schemas.openxmlformats.org/officeDocument/2006/relationships" r:id="rId3"/>
        </xdr:cNvPr>
        <xdr:cNvSpPr/>
      </xdr:nvSpPr>
      <xdr:spPr>
        <a:xfrm>
          <a:off x="6138861" y="6072188"/>
          <a:ext cx="923926" cy="354675"/>
        </a:xfrm>
        <a:prstGeom prst="rect">
          <a:avLst/>
        </a:prstGeom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200" b="1"/>
            <a:t>Staff</a:t>
          </a:r>
          <a:r>
            <a:rPr lang="en-AU" sz="1200" b="1" baseline="0"/>
            <a:t> Costs</a:t>
          </a:r>
          <a:endParaRPr lang="en-AU" sz="1200" b="1"/>
        </a:p>
      </xdr:txBody>
    </xdr:sp>
    <xdr:clientData/>
  </xdr:twoCellAnchor>
  <xdr:twoCellAnchor>
    <xdr:from>
      <xdr:col>18</xdr:col>
      <xdr:colOff>379412</xdr:colOff>
      <xdr:row>29</xdr:row>
      <xdr:rowOff>68262</xdr:rowOff>
    </xdr:from>
    <xdr:to>
      <xdr:col>20</xdr:col>
      <xdr:colOff>421612</xdr:colOff>
      <xdr:row>30</xdr:row>
      <xdr:rowOff>165762</xdr:rowOff>
    </xdr:to>
    <xdr:sp macro="" textlink="">
      <xdr:nvSpPr>
        <xdr:cNvPr id="38" name="Rectangle 37">
          <a:hlinkClick xmlns:r="http://schemas.openxmlformats.org/officeDocument/2006/relationships" r:id="rId4"/>
        </xdr:cNvPr>
        <xdr:cNvSpPr/>
      </xdr:nvSpPr>
      <xdr:spPr>
        <a:xfrm>
          <a:off x="8799512" y="6069012"/>
          <a:ext cx="1528100" cy="354675"/>
        </a:xfrm>
        <a:prstGeom prst="rect">
          <a:avLst/>
        </a:prstGeom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300" b="1"/>
            <a:t>OPA </a:t>
          </a:r>
          <a:r>
            <a:rPr lang="en-AU" sz="1200" b="1"/>
            <a:t>Reconciliation</a:t>
          </a:r>
        </a:p>
      </xdr:txBody>
    </xdr:sp>
    <xdr:clientData/>
  </xdr:twoCellAnchor>
  <xdr:twoCellAnchor>
    <xdr:from>
      <xdr:col>8</xdr:col>
      <xdr:colOff>251150</xdr:colOff>
      <xdr:row>29</xdr:row>
      <xdr:rowOff>171256</xdr:rowOff>
    </xdr:from>
    <xdr:to>
      <xdr:col>10</xdr:col>
      <xdr:colOff>217521</xdr:colOff>
      <xdr:row>30</xdr:row>
      <xdr:rowOff>92457</xdr:rowOff>
    </xdr:to>
    <xdr:sp macro="" textlink="">
      <xdr:nvSpPr>
        <xdr:cNvPr id="39" name="Right Arrow 1"/>
        <xdr:cNvSpPr/>
      </xdr:nvSpPr>
      <xdr:spPr>
        <a:xfrm>
          <a:off x="2778191" y="6265312"/>
          <a:ext cx="666167" cy="173905"/>
        </a:xfrm>
        <a:custGeom>
          <a:avLst/>
          <a:gdLst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2861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  <a:gd name="connsiteX0" fmla="*/ 0 w 1409700"/>
            <a:gd name="connsiteY0" fmla="*/ 164306 h 657225"/>
            <a:gd name="connsiteX1" fmla="*/ 1081088 w 1409700"/>
            <a:gd name="connsiteY1" fmla="*/ 164306 h 657225"/>
            <a:gd name="connsiteX2" fmla="*/ 1081088 w 1409700"/>
            <a:gd name="connsiteY2" fmla="*/ 0 h 657225"/>
            <a:gd name="connsiteX3" fmla="*/ 1409700 w 1409700"/>
            <a:gd name="connsiteY3" fmla="*/ 347663 h 657225"/>
            <a:gd name="connsiteX4" fmla="*/ 1081088 w 1409700"/>
            <a:gd name="connsiteY4" fmla="*/ 657225 h 657225"/>
            <a:gd name="connsiteX5" fmla="*/ 1081088 w 1409700"/>
            <a:gd name="connsiteY5" fmla="*/ 492919 h 657225"/>
            <a:gd name="connsiteX6" fmla="*/ 0 w 1409700"/>
            <a:gd name="connsiteY6" fmla="*/ 492919 h 657225"/>
            <a:gd name="connsiteX7" fmla="*/ 0 w 1409700"/>
            <a:gd name="connsiteY7" fmla="*/ 164306 h 657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409700" h="657225">
              <a:moveTo>
                <a:pt x="0" y="164306"/>
              </a:moveTo>
              <a:lnTo>
                <a:pt x="1081088" y="164306"/>
              </a:lnTo>
              <a:lnTo>
                <a:pt x="1081088" y="0"/>
              </a:lnTo>
              <a:lnTo>
                <a:pt x="1409700" y="347663"/>
              </a:lnTo>
              <a:lnTo>
                <a:pt x="1081088" y="657225"/>
              </a:lnTo>
              <a:lnTo>
                <a:pt x="1081088" y="492919"/>
              </a:lnTo>
              <a:lnTo>
                <a:pt x="0" y="492919"/>
              </a:lnTo>
              <a:lnTo>
                <a:pt x="0" y="164306"/>
              </a:lnTo>
              <a:close/>
            </a:path>
          </a:pathLst>
        </a:custGeom>
        <a:solidFill>
          <a:sysClr val="window" lastClr="FFFFFF"/>
        </a:solidFill>
        <a:ln w="2857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609600</xdr:colOff>
      <xdr:row>11</xdr:row>
      <xdr:rowOff>0</xdr:rowOff>
    </xdr:from>
    <xdr:to>
      <xdr:col>8</xdr:col>
      <xdr:colOff>57151</xdr:colOff>
      <xdr:row>12</xdr:row>
      <xdr:rowOff>95250</xdr:rowOff>
    </xdr:to>
    <xdr:sp macro="" textlink="">
      <xdr:nvSpPr>
        <xdr:cNvPr id="34" name="Right Arrow 33"/>
        <xdr:cNvSpPr/>
      </xdr:nvSpPr>
      <xdr:spPr>
        <a:xfrm>
          <a:off x="2428875" y="2466975"/>
          <a:ext cx="361951" cy="285750"/>
        </a:xfrm>
        <a:prstGeom prst="rightArrow">
          <a:avLst/>
        </a:prstGeom>
        <a:solidFill>
          <a:srgbClr val="DE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10</xdr:col>
      <xdr:colOff>557212</xdr:colOff>
      <xdr:row>29</xdr:row>
      <xdr:rowOff>66675</xdr:rowOff>
    </xdr:from>
    <xdr:to>
      <xdr:col>12</xdr:col>
      <xdr:colOff>300037</xdr:colOff>
      <xdr:row>30</xdr:row>
      <xdr:rowOff>164175</xdr:rowOff>
    </xdr:to>
    <xdr:sp macro="" textlink="">
      <xdr:nvSpPr>
        <xdr:cNvPr id="29" name="Rectangle 28">
          <a:hlinkClick xmlns:r="http://schemas.openxmlformats.org/officeDocument/2006/relationships" r:id="rId5"/>
        </xdr:cNvPr>
        <xdr:cNvSpPr/>
      </xdr:nvSpPr>
      <xdr:spPr>
        <a:xfrm>
          <a:off x="3776662" y="6067425"/>
          <a:ext cx="1047750" cy="354675"/>
        </a:xfrm>
        <a:prstGeom prst="rect">
          <a:avLst/>
        </a:prstGeom>
        <a:ln w="19050"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AU" sz="1200" b="1"/>
            <a:t>User Guide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485775</xdr:colOff>
      <xdr:row>2</xdr:row>
      <xdr:rowOff>447675</xdr:rowOff>
    </xdr:from>
    <xdr:to>
      <xdr:col>36</xdr:col>
      <xdr:colOff>237242</xdr:colOff>
      <xdr:row>29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68975" y="1038225"/>
          <a:ext cx="7066667" cy="5600000"/>
        </a:xfrm>
        <a:prstGeom prst="rect">
          <a:avLst/>
        </a:prstGeom>
      </xdr:spPr>
    </xdr:pic>
    <xdr:clientData/>
  </xdr:twoCellAnchor>
  <xdr:twoCellAnchor editAs="oneCell">
    <xdr:from>
      <xdr:col>34</xdr:col>
      <xdr:colOff>485775</xdr:colOff>
      <xdr:row>4</xdr:row>
      <xdr:rowOff>133350</xdr:rowOff>
    </xdr:from>
    <xdr:to>
      <xdr:col>40</xdr:col>
      <xdr:colOff>332937</xdr:colOff>
      <xdr:row>24</xdr:row>
      <xdr:rowOff>151921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564975" y="1676400"/>
          <a:ext cx="3504762" cy="382857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485775</xdr:colOff>
      <xdr:row>2</xdr:row>
      <xdr:rowOff>447675</xdr:rowOff>
    </xdr:from>
    <xdr:to>
      <xdr:col>36</xdr:col>
      <xdr:colOff>237242</xdr:colOff>
      <xdr:row>29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68975" y="1038225"/>
          <a:ext cx="7066667" cy="5267325"/>
        </a:xfrm>
        <a:prstGeom prst="rect">
          <a:avLst/>
        </a:prstGeom>
      </xdr:spPr>
    </xdr:pic>
    <xdr:clientData/>
  </xdr:twoCellAnchor>
  <xdr:twoCellAnchor editAs="oneCell">
    <xdr:from>
      <xdr:col>34</xdr:col>
      <xdr:colOff>485775</xdr:colOff>
      <xdr:row>4</xdr:row>
      <xdr:rowOff>133350</xdr:rowOff>
    </xdr:from>
    <xdr:to>
      <xdr:col>40</xdr:col>
      <xdr:colOff>332937</xdr:colOff>
      <xdr:row>24</xdr:row>
      <xdr:rowOff>151921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564975" y="1676400"/>
          <a:ext cx="3504762" cy="382857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485775</xdr:colOff>
      <xdr:row>2</xdr:row>
      <xdr:rowOff>447675</xdr:rowOff>
    </xdr:from>
    <xdr:to>
      <xdr:col>36</xdr:col>
      <xdr:colOff>237242</xdr:colOff>
      <xdr:row>29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68975" y="1038225"/>
          <a:ext cx="7066667" cy="5600000"/>
        </a:xfrm>
        <a:prstGeom prst="rect">
          <a:avLst/>
        </a:prstGeom>
      </xdr:spPr>
    </xdr:pic>
    <xdr:clientData/>
  </xdr:twoCellAnchor>
  <xdr:twoCellAnchor editAs="oneCell">
    <xdr:from>
      <xdr:col>34</xdr:col>
      <xdr:colOff>485775</xdr:colOff>
      <xdr:row>4</xdr:row>
      <xdr:rowOff>133350</xdr:rowOff>
    </xdr:from>
    <xdr:to>
      <xdr:col>40</xdr:col>
      <xdr:colOff>332937</xdr:colOff>
      <xdr:row>24</xdr:row>
      <xdr:rowOff>151921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564975" y="1676400"/>
          <a:ext cx="3504762" cy="38285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RJohns39\AppData\Local\Microsoft\Windows\Temporary%20Internet%20Files\Content.Outlook\EBUH2V8L\2014BUDGET-Working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rative/Financial%20Services/Open%20Access%20Folders/Commercial%20Services/Enterprise%20Reporting/2016/9.%20September/Winery/I%20&amp;%20E%20Stmt%20Winery%20Jul%20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roduction"/>
      <sheetName val="Vineyard"/>
      <sheetName val="Marketing"/>
      <sheetName val="Wines"/>
      <sheetName val="WhiteFerment"/>
      <sheetName val="WhiteBlending"/>
      <sheetName val="WhiteBottling"/>
      <sheetName val="SparkBottling"/>
      <sheetName val="Fruit"/>
      <sheetName val="Intake"/>
      <sheetName val="RedFerment"/>
      <sheetName val="RedBlending"/>
      <sheetName val="RedBottling"/>
      <sheetName val="FortBottling"/>
      <sheetName val="ChemicalSummary"/>
      <sheetName val="ChemicalData"/>
      <sheetName val="Oak"/>
      <sheetName val="Misc Cost"/>
      <sheetName val="DryGoodsNeeds"/>
      <sheetName val="DryGoodsTypes"/>
      <sheetName val="PackagingTypes"/>
      <sheetName val="Codes"/>
      <sheetName val="StandingOrders"/>
      <sheetName val="Forecasts"/>
      <sheetName val="BudgetCodes"/>
    </sheetNames>
    <sheetDataSet>
      <sheetData sheetId="0" refreshError="1"/>
      <sheetData sheetId="1">
        <row r="58">
          <cell r="M58">
            <v>0.05</v>
          </cell>
        </row>
        <row r="59">
          <cell r="M59">
            <v>0.02</v>
          </cell>
        </row>
        <row r="66">
          <cell r="M66">
            <v>0.05</v>
          </cell>
        </row>
        <row r="73">
          <cell r="G73">
            <v>635798.13417804695</v>
          </cell>
          <cell r="I73">
            <v>92029.090909090912</v>
          </cell>
          <cell r="J73">
            <v>299187.85765711119</v>
          </cell>
          <cell r="K73">
            <v>227872.03519074325</v>
          </cell>
          <cell r="L73">
            <v>16379.401089451723</v>
          </cell>
        </row>
      </sheetData>
      <sheetData sheetId="2">
        <row r="37">
          <cell r="I37">
            <v>1000</v>
          </cell>
        </row>
        <row r="81">
          <cell r="J81">
            <v>650</v>
          </cell>
        </row>
        <row r="88">
          <cell r="J88">
            <v>500</v>
          </cell>
        </row>
      </sheetData>
      <sheetData sheetId="3">
        <row r="57">
          <cell r="C57">
            <v>-189261.94499437953</v>
          </cell>
        </row>
      </sheetData>
      <sheetData sheetId="4">
        <row r="58">
          <cell r="D58">
            <v>7490</v>
          </cell>
          <cell r="J58">
            <v>6470</v>
          </cell>
          <cell r="K58">
            <v>9450</v>
          </cell>
          <cell r="L58">
            <v>765864.31560408708</v>
          </cell>
          <cell r="N58">
            <v>27762.5</v>
          </cell>
          <cell r="O58">
            <v>99967.465624999997</v>
          </cell>
          <cell r="P58">
            <v>4956.1216709486462</v>
          </cell>
          <cell r="Q58">
            <v>16379.401089451723</v>
          </cell>
        </row>
        <row r="63">
          <cell r="C63">
            <v>0.66952045085144207</v>
          </cell>
        </row>
        <row r="64">
          <cell r="C64">
            <v>1.0976071981366</v>
          </cell>
        </row>
        <row r="77">
          <cell r="C77">
            <v>137455.23499999999</v>
          </cell>
          <cell r="D77">
            <v>207608</v>
          </cell>
          <cell r="F77">
            <v>2138.3148249999999</v>
          </cell>
        </row>
        <row r="80">
          <cell r="C80">
            <v>0</v>
          </cell>
        </row>
        <row r="81">
          <cell r="C81">
            <v>27762.5</v>
          </cell>
        </row>
      </sheetData>
      <sheetData sheetId="5">
        <row r="8">
          <cell r="B8" t="str">
            <v>BatchCode</v>
          </cell>
          <cell r="C8" t="str">
            <v>Likely destination</v>
          </cell>
          <cell r="D8" t="str">
            <v>BlkCode</v>
          </cell>
          <cell r="E8" t="str">
            <v>Grower</v>
          </cell>
          <cell r="F8" t="str">
            <v>Variety</v>
          </cell>
          <cell r="G8" t="str">
            <v>Block</v>
          </cell>
          <cell r="H8" t="str">
            <v>ProjBlkTotal</v>
          </cell>
          <cell r="I8" t="str">
            <v>Tonnage</v>
          </cell>
          <cell r="J8" t="str">
            <v>Free run cut</v>
          </cell>
          <cell r="K8" t="str">
            <v>Pressings cut</v>
          </cell>
          <cell r="L8" t="str">
            <v>Gross lees</v>
          </cell>
          <cell r="M8" t="str">
            <v>Post-ferment losses</v>
          </cell>
          <cell r="N8" t="str">
            <v>Tartaric</v>
          </cell>
          <cell r="O8" t="str">
            <v>Malic</v>
          </cell>
          <cell r="P8" t="str">
            <v>PVPP</v>
          </cell>
          <cell r="Q8" t="str">
            <v>Settling enzyme</v>
          </cell>
          <cell r="R8" t="str">
            <v>Extraction Enzyme</v>
          </cell>
          <cell r="S8" t="str">
            <v>Yeast</v>
          </cell>
          <cell r="T8" t="str">
            <v>Yeast nutrient</v>
          </cell>
          <cell r="U8" t="str">
            <v>MLF bacteria</v>
          </cell>
          <cell r="V8" t="str">
            <v>MLF Nutrient</v>
          </cell>
          <cell r="W8" t="str">
            <v>Post-ferment override volume</v>
          </cell>
          <cell r="Z8" t="str">
            <v>FP-Vic</v>
          </cell>
          <cell r="AA8" t="str">
            <v>FP-Old</v>
          </cell>
          <cell r="AB8" t="str">
            <v>FH-Old</v>
          </cell>
          <cell r="AF8">
            <v>8300</v>
          </cell>
          <cell r="AG8">
            <v>6600</v>
          </cell>
          <cell r="AH8">
            <v>4900</v>
          </cell>
          <cell r="AI8">
            <v>1000</v>
          </cell>
          <cell r="AL8" t="str">
            <v>[%]</v>
          </cell>
          <cell r="AM8" t="str">
            <v>[%]</v>
          </cell>
          <cell r="AN8" t="str">
            <v>[%]</v>
          </cell>
          <cell r="AS8" t="str">
            <v>FT-Inn</v>
          </cell>
          <cell r="AT8" t="str">
            <v>FT-Evoak</v>
          </cell>
          <cell r="AU8" t="str">
            <v>FT-SM</v>
          </cell>
          <cell r="AX8" t="str">
            <v>Labour Multiplier</v>
          </cell>
          <cell r="AY8" t="str">
            <v>JuiceVol</v>
          </cell>
          <cell r="AZ8" t="str">
            <v>PreFerm Vol</v>
          </cell>
          <cell r="BA8" t="str">
            <v>PostFerm Vol</v>
          </cell>
          <cell r="BC8" t="str">
            <v>Price</v>
          </cell>
          <cell r="BD8" t="str">
            <v>Proc-essing</v>
          </cell>
          <cell r="BE8" t="str">
            <v>Transport</v>
          </cell>
          <cell r="BF8" t="str">
            <v>Levies</v>
          </cell>
          <cell r="BG8" t="str">
            <v>Cost</v>
          </cell>
          <cell r="BI8" t="str">
            <v>Settling enzyme price</v>
          </cell>
          <cell r="BJ8" t="str">
            <v>Extraction enzyme price</v>
          </cell>
          <cell r="BK8" t="str">
            <v>Yeast price</v>
          </cell>
          <cell r="BL8" t="str">
            <v>Yeast nutrient price</v>
          </cell>
          <cell r="BM8" t="str">
            <v>MLF price</v>
          </cell>
          <cell r="BN8" t="str">
            <v>MLF Nutrient price</v>
          </cell>
          <cell r="BP8" t="str">
            <v>Tartaric</v>
          </cell>
          <cell r="BQ8" t="str">
            <v>Malic</v>
          </cell>
          <cell r="BR8" t="str">
            <v>Settling enzyme</v>
          </cell>
          <cell r="BS8" t="str">
            <v>Extraction enzyme</v>
          </cell>
          <cell r="BT8" t="str">
            <v>Flottogel</v>
          </cell>
          <cell r="BU8" t="str">
            <v>SO2 as PMS</v>
          </cell>
          <cell r="BV8" t="str">
            <v>PVPP</v>
          </cell>
          <cell r="BY8" t="str">
            <v>Coarse Earth</v>
          </cell>
          <cell r="CB8" t="str">
            <v>DAP</v>
          </cell>
          <cell r="CC8" t="str">
            <v>YeastTotal</v>
          </cell>
          <cell r="CD8" t="str">
            <v>Yeast nutrient</v>
          </cell>
          <cell r="CE8" t="str">
            <v>MLF</v>
          </cell>
          <cell r="CF8" t="str">
            <v>MLF nutrient</v>
          </cell>
          <cell r="CI8" t="str">
            <v>SO2 as PMS</v>
          </cell>
          <cell r="CJ8" t="str">
            <v>Bentonite</v>
          </cell>
          <cell r="CL8" t="str">
            <v>Fruit cost</v>
          </cell>
          <cell r="CM8" t="str">
            <v>Ex-press costs</v>
          </cell>
          <cell r="CN8" t="str">
            <v>Ferment costs</v>
          </cell>
          <cell r="CO8" t="str">
            <v>Post-ferment costs</v>
          </cell>
          <cell r="CP8" t="str">
            <v>Consumables</v>
          </cell>
          <cell r="CQ8" t="str">
            <v>Oak costs</v>
          </cell>
          <cell r="CR8" t="str">
            <v>Labour costs</v>
          </cell>
          <cell r="CS8" t="str">
            <v>Overhead costs</v>
          </cell>
          <cell r="CT8" t="str">
            <v>Total</v>
          </cell>
          <cell r="CU8" t="str">
            <v>Available</v>
          </cell>
          <cell r="CV8" t="str">
            <v>Allocated volume</v>
          </cell>
          <cell r="CW8" t="str">
            <v>Remaining volume</v>
          </cell>
          <cell r="CX8" t="str">
            <v>Fruit cost</v>
          </cell>
          <cell r="CY8" t="str">
            <v>Ex-press costs</v>
          </cell>
          <cell r="CZ8" t="str">
            <v>Ferment costs</v>
          </cell>
          <cell r="DA8" t="str">
            <v>Post-ferment costs</v>
          </cell>
          <cell r="DB8" t="str">
            <v>Consumables</v>
          </cell>
          <cell r="DC8" t="str">
            <v>Oak costs</v>
          </cell>
          <cell r="DD8" t="str">
            <v>Labour costs</v>
          </cell>
          <cell r="DE8" t="str">
            <v>Overhead costs</v>
          </cell>
          <cell r="DF8" t="str">
            <v>Total</v>
          </cell>
        </row>
        <row r="9">
          <cell r="B9" t="str">
            <v>CHA14-OCFR</v>
          </cell>
          <cell r="C9" t="str">
            <v>CWCHA</v>
          </cell>
          <cell r="D9" t="str">
            <v>CSUO-CHA1</v>
          </cell>
          <cell r="E9" t="str">
            <v>CSU Orange</v>
          </cell>
          <cell r="F9" t="str">
            <v>Chardonnay</v>
          </cell>
          <cell r="G9">
            <v>0</v>
          </cell>
          <cell r="H9">
            <v>24.1</v>
          </cell>
          <cell r="I9">
            <v>14</v>
          </cell>
          <cell r="J9">
            <v>500</v>
          </cell>
          <cell r="K9">
            <v>250</v>
          </cell>
          <cell r="M9">
            <v>0.05</v>
          </cell>
          <cell r="P9">
            <v>100</v>
          </cell>
          <cell r="Q9" t="str">
            <v>HC</v>
          </cell>
          <cell r="S9" t="str">
            <v>Platinum</v>
          </cell>
          <cell r="T9" t="str">
            <v>FermControl</v>
          </cell>
          <cell r="AF9">
            <v>2</v>
          </cell>
          <cell r="AN9">
            <v>0.16</v>
          </cell>
          <cell r="AP9">
            <v>0</v>
          </cell>
          <cell r="AQ9">
            <v>-9600</v>
          </cell>
          <cell r="AS9">
            <v>0</v>
          </cell>
          <cell r="AT9">
            <v>0</v>
          </cell>
          <cell r="AU9">
            <v>6</v>
          </cell>
          <cell r="AX9">
            <v>1</v>
          </cell>
          <cell r="AY9">
            <v>7000</v>
          </cell>
          <cell r="AZ9">
            <v>7000</v>
          </cell>
          <cell r="BA9">
            <v>6650</v>
          </cell>
          <cell r="BC9">
            <v>1500</v>
          </cell>
          <cell r="BD9">
            <v>0</v>
          </cell>
          <cell r="BE9">
            <v>100</v>
          </cell>
          <cell r="BF9">
            <v>11.273732718894008</v>
          </cell>
          <cell r="BG9">
            <v>22557.832258064518</v>
          </cell>
          <cell r="BI9">
            <v>18</v>
          </cell>
          <cell r="BJ9">
            <v>0</v>
          </cell>
          <cell r="BK9">
            <v>85</v>
          </cell>
          <cell r="BL9">
            <v>80</v>
          </cell>
          <cell r="BM9">
            <v>0</v>
          </cell>
          <cell r="BN9">
            <v>0</v>
          </cell>
          <cell r="BP9">
            <v>0</v>
          </cell>
          <cell r="BQ9">
            <v>0</v>
          </cell>
          <cell r="BR9">
            <v>0.13999999999999999</v>
          </cell>
          <cell r="BS9">
            <v>0.21</v>
          </cell>
          <cell r="BT9">
            <v>0.38500000000000001</v>
          </cell>
          <cell r="BU9">
            <v>0.84</v>
          </cell>
          <cell r="BV9">
            <v>0.7</v>
          </cell>
          <cell r="CB9">
            <v>0</v>
          </cell>
          <cell r="CC9">
            <v>1.4</v>
          </cell>
          <cell r="CD9">
            <v>2.1</v>
          </cell>
          <cell r="CE9">
            <v>70</v>
          </cell>
          <cell r="CF9">
            <v>1.4</v>
          </cell>
          <cell r="CI9">
            <v>0.79799999999999993</v>
          </cell>
          <cell r="CJ9">
            <v>1.33</v>
          </cell>
          <cell r="CL9">
            <v>18046.265806451614</v>
          </cell>
          <cell r="CM9">
            <v>33.466300000000004</v>
          </cell>
          <cell r="CN9">
            <v>287</v>
          </cell>
          <cell r="CO9">
            <v>6.8761000000000001</v>
          </cell>
          <cell r="CP9">
            <v>0</v>
          </cell>
          <cell r="CQ9">
            <v>2880</v>
          </cell>
          <cell r="CR9">
            <v>7683.2503869561997</v>
          </cell>
          <cell r="CS9">
            <v>4686.6431559600942</v>
          </cell>
          <cell r="CT9">
            <v>33623.501749367912</v>
          </cell>
          <cell r="CU9">
            <v>6650</v>
          </cell>
          <cell r="CV9">
            <v>6650</v>
          </cell>
          <cell r="CW9">
            <v>0</v>
          </cell>
          <cell r="CX9">
            <v>2.7137241814212953</v>
          </cell>
          <cell r="CY9">
            <v>5.0325263157894743E-3</v>
          </cell>
          <cell r="CZ9">
            <v>4.3157894736842103E-2</v>
          </cell>
          <cell r="DA9">
            <v>1.034E-3</v>
          </cell>
          <cell r="DB9">
            <v>0</v>
          </cell>
          <cell r="DC9">
            <v>0.43308270676691729</v>
          </cell>
          <cell r="DD9">
            <v>1.1553759980385263</v>
          </cell>
          <cell r="DE9">
            <v>0.7047583693173074</v>
          </cell>
          <cell r="DF9">
            <v>5.0561656765966783</v>
          </cell>
        </row>
        <row r="10">
          <cell r="B10" t="str">
            <v>CHA14-OCPR</v>
          </cell>
          <cell r="C10" t="str">
            <v>CWCHA</v>
          </cell>
          <cell r="P10">
            <v>400</v>
          </cell>
          <cell r="Q10" t="str">
            <v>HC</v>
          </cell>
          <cell r="S10" t="str">
            <v>Platinum</v>
          </cell>
          <cell r="T10" t="str">
            <v>FermControl</v>
          </cell>
          <cell r="AP10">
            <v>0</v>
          </cell>
          <cell r="AQ10">
            <v>3500</v>
          </cell>
          <cell r="AS10">
            <v>0</v>
          </cell>
          <cell r="AT10">
            <v>0</v>
          </cell>
          <cell r="AU10">
            <v>0</v>
          </cell>
          <cell r="AX10">
            <v>1</v>
          </cell>
          <cell r="AY10">
            <v>3500</v>
          </cell>
          <cell r="AZ10">
            <v>3500</v>
          </cell>
          <cell r="BA10">
            <v>3325</v>
          </cell>
          <cell r="BI10">
            <v>18</v>
          </cell>
          <cell r="BJ10">
            <v>0</v>
          </cell>
          <cell r="BK10">
            <v>85</v>
          </cell>
          <cell r="BL10">
            <v>80</v>
          </cell>
          <cell r="BM10">
            <v>0</v>
          </cell>
          <cell r="BN10">
            <v>0</v>
          </cell>
          <cell r="BP10">
            <v>0</v>
          </cell>
          <cell r="BQ10">
            <v>0</v>
          </cell>
          <cell r="BR10">
            <v>6.9999999999999993E-2</v>
          </cell>
          <cell r="BS10">
            <v>0.105</v>
          </cell>
          <cell r="BT10">
            <v>0.1925</v>
          </cell>
          <cell r="BU10">
            <v>0.42</v>
          </cell>
          <cell r="BV10">
            <v>1.4</v>
          </cell>
          <cell r="CB10">
            <v>0</v>
          </cell>
          <cell r="CC10">
            <v>0.7</v>
          </cell>
          <cell r="CD10">
            <v>1.05</v>
          </cell>
          <cell r="CE10">
            <v>35</v>
          </cell>
          <cell r="CF10">
            <v>0.7</v>
          </cell>
          <cell r="CI10">
            <v>0.39899999999999997</v>
          </cell>
          <cell r="CJ10">
            <v>0.66500000000000004</v>
          </cell>
          <cell r="CL10">
            <v>4511.5664516129036</v>
          </cell>
          <cell r="CM10">
            <v>53.483149999999995</v>
          </cell>
          <cell r="CN10">
            <v>59.499999999999993</v>
          </cell>
          <cell r="CO10">
            <v>3.4380500000000001</v>
          </cell>
          <cell r="CP10">
            <v>0</v>
          </cell>
          <cell r="CQ10">
            <v>0</v>
          </cell>
          <cell r="CR10">
            <v>3841.6251934780998</v>
          </cell>
          <cell r="CS10">
            <v>2343.3215779800471</v>
          </cell>
          <cell r="CT10">
            <v>10812.93442307105</v>
          </cell>
          <cell r="CU10">
            <v>3325</v>
          </cell>
          <cell r="CV10">
            <v>3325</v>
          </cell>
          <cell r="CW10">
            <v>0</v>
          </cell>
          <cell r="CX10">
            <v>1.3568620907106477</v>
          </cell>
          <cell r="CY10">
            <v>1.6085157894736839E-2</v>
          </cell>
          <cell r="CZ10">
            <v>1.7894736842105262E-2</v>
          </cell>
          <cell r="DA10">
            <v>1.034E-3</v>
          </cell>
          <cell r="DB10">
            <v>0</v>
          </cell>
          <cell r="DC10">
            <v>0</v>
          </cell>
          <cell r="DD10">
            <v>1.1553759980385263</v>
          </cell>
          <cell r="DE10">
            <v>0.7047583693173074</v>
          </cell>
          <cell r="DF10">
            <v>3.2520103528033233</v>
          </cell>
        </row>
        <row r="11">
          <cell r="AP11">
            <v>0</v>
          </cell>
          <cell r="AQ11">
            <v>0</v>
          </cell>
          <cell r="AS11">
            <v>0</v>
          </cell>
          <cell r="AT11">
            <v>0</v>
          </cell>
          <cell r="AU11">
            <v>0</v>
          </cell>
          <cell r="AX11">
            <v>0</v>
          </cell>
          <cell r="AZ11">
            <v>0</v>
          </cell>
          <cell r="BA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Y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I11">
            <v>0</v>
          </cell>
          <cell r="CJ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S11">
            <v>0</v>
          </cell>
          <cell r="CT11">
            <v>0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  <cell r="DA11">
            <v>0</v>
          </cell>
          <cell r="DB11">
            <v>0</v>
          </cell>
          <cell r="DC11">
            <v>0</v>
          </cell>
          <cell r="DD11">
            <v>0</v>
          </cell>
          <cell r="DE11">
            <v>0</v>
          </cell>
          <cell r="DF11">
            <v>0</v>
          </cell>
        </row>
        <row r="12">
          <cell r="B12" t="str">
            <v>CHA14-CMFR</v>
          </cell>
          <cell r="C12" t="str">
            <v>WWCHACM</v>
          </cell>
          <cell r="D12" t="str">
            <v>CSUO-CHA1</v>
          </cell>
          <cell r="E12" t="str">
            <v>CSU Orange</v>
          </cell>
          <cell r="F12" t="str">
            <v>Chardonnay</v>
          </cell>
          <cell r="G12">
            <v>0</v>
          </cell>
          <cell r="H12">
            <v>24.1</v>
          </cell>
          <cell r="I12">
            <v>8</v>
          </cell>
          <cell r="J12">
            <v>500</v>
          </cell>
          <cell r="K12">
            <v>250</v>
          </cell>
          <cell r="M12">
            <v>0.05</v>
          </cell>
          <cell r="P12">
            <v>100</v>
          </cell>
          <cell r="Q12" t="str">
            <v>HC</v>
          </cell>
          <cell r="S12" t="str">
            <v>Platinum</v>
          </cell>
          <cell r="T12" t="str">
            <v>FermControl</v>
          </cell>
          <cell r="AF12">
            <v>1</v>
          </cell>
          <cell r="AN12">
            <v>0.3</v>
          </cell>
          <cell r="AP12">
            <v>0</v>
          </cell>
          <cell r="AQ12">
            <v>-4300</v>
          </cell>
          <cell r="AS12">
            <v>0</v>
          </cell>
          <cell r="AT12">
            <v>0</v>
          </cell>
          <cell r="AU12">
            <v>6</v>
          </cell>
          <cell r="AX12">
            <v>1</v>
          </cell>
          <cell r="AY12">
            <v>4000</v>
          </cell>
          <cell r="AZ12">
            <v>4000</v>
          </cell>
          <cell r="BA12">
            <v>3800</v>
          </cell>
          <cell r="BC12">
            <v>1500</v>
          </cell>
          <cell r="BD12">
            <v>0</v>
          </cell>
          <cell r="BE12">
            <v>100</v>
          </cell>
          <cell r="BF12">
            <v>11.273732718894008</v>
          </cell>
          <cell r="BG12">
            <v>12890.189861751152</v>
          </cell>
          <cell r="BI12">
            <v>18</v>
          </cell>
          <cell r="BJ12">
            <v>0</v>
          </cell>
          <cell r="BK12">
            <v>85</v>
          </cell>
          <cell r="BL12">
            <v>80</v>
          </cell>
          <cell r="BM12">
            <v>0</v>
          </cell>
          <cell r="BN12">
            <v>0</v>
          </cell>
          <cell r="BP12">
            <v>0</v>
          </cell>
          <cell r="BQ12">
            <v>0</v>
          </cell>
          <cell r="BR12">
            <v>0.08</v>
          </cell>
          <cell r="BS12">
            <v>0.12</v>
          </cell>
          <cell r="BT12">
            <v>0.22</v>
          </cell>
          <cell r="BU12">
            <v>0.48</v>
          </cell>
          <cell r="BV12">
            <v>0.39999999999999997</v>
          </cell>
          <cell r="CB12">
            <v>0</v>
          </cell>
          <cell r="CC12">
            <v>0.79999999999999993</v>
          </cell>
          <cell r="CD12">
            <v>1.2</v>
          </cell>
          <cell r="CE12">
            <v>40</v>
          </cell>
          <cell r="CF12">
            <v>0.79999999999999993</v>
          </cell>
          <cell r="CI12">
            <v>0.45599999999999996</v>
          </cell>
          <cell r="CJ12">
            <v>0.76</v>
          </cell>
          <cell r="CL12">
            <v>10312.15188940092</v>
          </cell>
          <cell r="CM12">
            <v>19.1236</v>
          </cell>
          <cell r="CN12">
            <v>68</v>
          </cell>
          <cell r="CO12">
            <v>3.9291999999999998</v>
          </cell>
          <cell r="CP12">
            <v>0</v>
          </cell>
          <cell r="CQ12">
            <v>2880</v>
          </cell>
          <cell r="CR12">
            <v>4390.4287925464005</v>
          </cell>
          <cell r="CS12">
            <v>2678.0818034057684</v>
          </cell>
          <cell r="CT12">
            <v>20351.715285353093</v>
          </cell>
          <cell r="CU12">
            <v>3800</v>
          </cell>
          <cell r="CV12">
            <v>3800</v>
          </cell>
          <cell r="CW12">
            <v>0</v>
          </cell>
          <cell r="CX12">
            <v>2.7137241814212949</v>
          </cell>
          <cell r="CY12">
            <v>5.0325263157894734E-3</v>
          </cell>
          <cell r="CZ12">
            <v>1.7894736842105262E-2</v>
          </cell>
          <cell r="DA12">
            <v>1.034E-3</v>
          </cell>
          <cell r="DB12">
            <v>0</v>
          </cell>
          <cell r="DC12">
            <v>0.75789473684210529</v>
          </cell>
          <cell r="DD12">
            <v>1.1553759980385265</v>
          </cell>
          <cell r="DE12">
            <v>0.70475836931730751</v>
          </cell>
          <cell r="DF12">
            <v>5.3557145487771303</v>
          </cell>
        </row>
        <row r="13">
          <cell r="B13" t="str">
            <v>CHA14-CMPR</v>
          </cell>
          <cell r="C13" t="str">
            <v>WWCHACM</v>
          </cell>
          <cell r="P13">
            <v>400</v>
          </cell>
          <cell r="Q13" t="str">
            <v>HC</v>
          </cell>
          <cell r="S13" t="str">
            <v>Platinum</v>
          </cell>
          <cell r="T13" t="str">
            <v>FermControl</v>
          </cell>
          <cell r="AN13">
            <v>0.3</v>
          </cell>
          <cell r="AP13">
            <v>0</v>
          </cell>
          <cell r="AQ13">
            <v>2000</v>
          </cell>
          <cell r="AS13">
            <v>0</v>
          </cell>
          <cell r="AT13">
            <v>0</v>
          </cell>
          <cell r="AU13">
            <v>0</v>
          </cell>
          <cell r="AX13">
            <v>1</v>
          </cell>
          <cell r="AY13">
            <v>2000</v>
          </cell>
          <cell r="AZ13">
            <v>2000</v>
          </cell>
          <cell r="BA13">
            <v>1900</v>
          </cell>
          <cell r="BI13">
            <v>18</v>
          </cell>
          <cell r="BJ13">
            <v>0</v>
          </cell>
          <cell r="BK13">
            <v>85</v>
          </cell>
          <cell r="BL13">
            <v>80</v>
          </cell>
          <cell r="BM13">
            <v>0</v>
          </cell>
          <cell r="BN13">
            <v>0</v>
          </cell>
          <cell r="BP13">
            <v>0</v>
          </cell>
          <cell r="BQ13">
            <v>0</v>
          </cell>
          <cell r="BR13">
            <v>0.04</v>
          </cell>
          <cell r="BS13">
            <v>0.06</v>
          </cell>
          <cell r="BT13">
            <v>0.11</v>
          </cell>
          <cell r="BU13">
            <v>0.24</v>
          </cell>
          <cell r="BV13">
            <v>0.79999999999999993</v>
          </cell>
          <cell r="CB13">
            <v>0</v>
          </cell>
          <cell r="CC13">
            <v>0.39999999999999997</v>
          </cell>
          <cell r="CD13">
            <v>0.6</v>
          </cell>
          <cell r="CE13">
            <v>20</v>
          </cell>
          <cell r="CF13">
            <v>0.39999999999999997</v>
          </cell>
          <cell r="CI13">
            <v>0.22799999999999998</v>
          </cell>
          <cell r="CJ13">
            <v>0.38</v>
          </cell>
          <cell r="CL13">
            <v>2578.0379723502301</v>
          </cell>
          <cell r="CM13">
            <v>30.561799999999995</v>
          </cell>
          <cell r="CN13">
            <v>34</v>
          </cell>
          <cell r="CO13">
            <v>1.9645999999999999</v>
          </cell>
          <cell r="CP13">
            <v>0</v>
          </cell>
          <cell r="CQ13">
            <v>0</v>
          </cell>
          <cell r="CR13">
            <v>2195.2143962732002</v>
          </cell>
          <cell r="CS13">
            <v>1339.0409017028842</v>
          </cell>
          <cell r="CT13">
            <v>6178.8196703263138</v>
          </cell>
          <cell r="CU13">
            <v>1900</v>
          </cell>
          <cell r="CV13">
            <v>1900</v>
          </cell>
          <cell r="CW13">
            <v>0</v>
          </cell>
          <cell r="CX13">
            <v>1.3568620907106475</v>
          </cell>
          <cell r="CY13">
            <v>1.6085157894736839E-2</v>
          </cell>
          <cell r="CZ13">
            <v>1.7894736842105262E-2</v>
          </cell>
          <cell r="DA13">
            <v>1.034E-3</v>
          </cell>
          <cell r="DB13">
            <v>0</v>
          </cell>
          <cell r="DC13">
            <v>0</v>
          </cell>
          <cell r="DD13">
            <v>1.1553759980385265</v>
          </cell>
          <cell r="DE13">
            <v>0.70475836931730751</v>
          </cell>
          <cell r="DF13">
            <v>3.2520103528033228</v>
          </cell>
        </row>
        <row r="14">
          <cell r="AP14">
            <v>0</v>
          </cell>
          <cell r="AQ14">
            <v>0</v>
          </cell>
          <cell r="AS14">
            <v>0</v>
          </cell>
          <cell r="AT14">
            <v>0</v>
          </cell>
          <cell r="AU14">
            <v>0</v>
          </cell>
          <cell r="AX14">
            <v>0</v>
          </cell>
          <cell r="AZ14">
            <v>0</v>
          </cell>
          <cell r="BA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Y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I14">
            <v>0</v>
          </cell>
          <cell r="CJ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</row>
        <row r="15">
          <cell r="B15" t="str">
            <v>CHA14-WWFR</v>
          </cell>
          <cell r="C15" t="str">
            <v>SWALB</v>
          </cell>
          <cell r="D15" t="str">
            <v>CSUW-CHA4</v>
          </cell>
          <cell r="E15" t="str">
            <v>CSU Wagga</v>
          </cell>
          <cell r="F15" t="str">
            <v>Chardonnay</v>
          </cell>
          <cell r="G15">
            <v>4</v>
          </cell>
          <cell r="H15">
            <v>0</v>
          </cell>
          <cell r="J15">
            <v>750</v>
          </cell>
          <cell r="M15">
            <v>0.05</v>
          </cell>
          <cell r="P15">
            <v>200</v>
          </cell>
          <cell r="Q15" t="str">
            <v>HC</v>
          </cell>
          <cell r="S15" t="str">
            <v>PDM</v>
          </cell>
          <cell r="T15" t="str">
            <v>FermControl</v>
          </cell>
          <cell r="AP15">
            <v>0</v>
          </cell>
          <cell r="AQ15">
            <v>0</v>
          </cell>
          <cell r="AS15">
            <v>0</v>
          </cell>
          <cell r="AT15">
            <v>0</v>
          </cell>
          <cell r="AU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C15">
            <v>400</v>
          </cell>
          <cell r="BD15">
            <v>0</v>
          </cell>
          <cell r="BE15">
            <v>0</v>
          </cell>
          <cell r="BF15">
            <v>11.273732718894008</v>
          </cell>
          <cell r="BG15">
            <v>0</v>
          </cell>
          <cell r="BI15">
            <v>18</v>
          </cell>
          <cell r="BJ15">
            <v>0</v>
          </cell>
          <cell r="BK15">
            <v>50</v>
          </cell>
          <cell r="BL15">
            <v>80</v>
          </cell>
          <cell r="BM15">
            <v>0</v>
          </cell>
          <cell r="BN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I15">
            <v>0</v>
          </cell>
          <cell r="CJ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</row>
        <row r="16">
          <cell r="AP16">
            <v>0</v>
          </cell>
          <cell r="AQ16">
            <v>0</v>
          </cell>
          <cell r="AS16">
            <v>0</v>
          </cell>
          <cell r="AT16">
            <v>0</v>
          </cell>
          <cell r="AU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I16">
            <v>0</v>
          </cell>
          <cell r="CJ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</row>
        <row r="17">
          <cell r="B17" t="str">
            <v>CHA14-WWLees</v>
          </cell>
          <cell r="C17" t="str">
            <v>SWALB</v>
          </cell>
          <cell r="S17" t="str">
            <v>PDM</v>
          </cell>
          <cell r="T17" t="str">
            <v>FermControl</v>
          </cell>
          <cell r="AP17">
            <v>0</v>
          </cell>
          <cell r="AQ17">
            <v>0</v>
          </cell>
          <cell r="AS17">
            <v>0</v>
          </cell>
          <cell r="AT17">
            <v>0</v>
          </cell>
          <cell r="AU17">
            <v>0</v>
          </cell>
          <cell r="AX17">
            <v>0</v>
          </cell>
          <cell r="AZ17">
            <v>0</v>
          </cell>
          <cell r="BA17">
            <v>0</v>
          </cell>
          <cell r="BI17">
            <v>0</v>
          </cell>
          <cell r="BJ17">
            <v>0</v>
          </cell>
          <cell r="BK17">
            <v>50</v>
          </cell>
          <cell r="BL17">
            <v>80</v>
          </cell>
          <cell r="BM17">
            <v>0</v>
          </cell>
          <cell r="BN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Y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I17">
            <v>0</v>
          </cell>
          <cell r="CJ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</row>
        <row r="18">
          <cell r="B18" t="str">
            <v>RIE14-OCFR</v>
          </cell>
          <cell r="C18" t="str">
            <v>NWRIE</v>
          </cell>
          <cell r="D18" t="str">
            <v>CSUO-RIE1</v>
          </cell>
          <cell r="E18" t="str">
            <v>CSU Orange</v>
          </cell>
          <cell r="F18" t="str">
            <v>Riesling</v>
          </cell>
          <cell r="G18">
            <v>0</v>
          </cell>
          <cell r="H18">
            <v>2.6</v>
          </cell>
          <cell r="I18">
            <v>2.6</v>
          </cell>
          <cell r="J18">
            <v>500</v>
          </cell>
          <cell r="K18">
            <v>250</v>
          </cell>
          <cell r="M18">
            <v>0.05</v>
          </cell>
          <cell r="P18">
            <v>100</v>
          </cell>
          <cell r="Q18" t="str">
            <v>HC</v>
          </cell>
          <cell r="S18" t="str">
            <v>GHM</v>
          </cell>
          <cell r="T18" t="str">
            <v>FermControl</v>
          </cell>
          <cell r="AP18">
            <v>0</v>
          </cell>
          <cell r="AQ18">
            <v>1300</v>
          </cell>
          <cell r="AS18">
            <v>0</v>
          </cell>
          <cell r="AT18">
            <v>0</v>
          </cell>
          <cell r="AU18">
            <v>0</v>
          </cell>
          <cell r="AX18">
            <v>1</v>
          </cell>
          <cell r="AY18">
            <v>1300</v>
          </cell>
          <cell r="AZ18">
            <v>1300</v>
          </cell>
          <cell r="BA18">
            <v>1235</v>
          </cell>
          <cell r="BC18">
            <v>1500</v>
          </cell>
          <cell r="BD18">
            <v>0</v>
          </cell>
          <cell r="BE18">
            <v>100</v>
          </cell>
          <cell r="BF18">
            <v>11.273732718894008</v>
          </cell>
          <cell r="BG18">
            <v>4189.3117050691244</v>
          </cell>
          <cell r="BI18">
            <v>18</v>
          </cell>
          <cell r="BJ18">
            <v>0</v>
          </cell>
          <cell r="BK18">
            <v>50</v>
          </cell>
          <cell r="BL18">
            <v>80</v>
          </cell>
          <cell r="BM18">
            <v>0</v>
          </cell>
          <cell r="BN18">
            <v>0</v>
          </cell>
          <cell r="BP18">
            <v>0</v>
          </cell>
          <cell r="BQ18">
            <v>0</v>
          </cell>
          <cell r="BR18">
            <v>2.5999999999999999E-2</v>
          </cell>
          <cell r="BS18">
            <v>3.9E-2</v>
          </cell>
          <cell r="BT18">
            <v>7.1499999999999994E-2</v>
          </cell>
          <cell r="BU18">
            <v>0.156</v>
          </cell>
          <cell r="BV18">
            <v>0.13</v>
          </cell>
          <cell r="CB18">
            <v>0</v>
          </cell>
          <cell r="CC18">
            <v>0.26</v>
          </cell>
          <cell r="CD18">
            <v>0.38999999999999996</v>
          </cell>
          <cell r="CE18">
            <v>13</v>
          </cell>
          <cell r="CF18">
            <v>0.26</v>
          </cell>
          <cell r="CI18">
            <v>0.1482</v>
          </cell>
          <cell r="CJ18">
            <v>0.247</v>
          </cell>
          <cell r="CL18">
            <v>3351.4493640552996</v>
          </cell>
          <cell r="CM18">
            <v>6.2151699999999996</v>
          </cell>
          <cell r="CN18">
            <v>13</v>
          </cell>
          <cell r="CO18">
            <v>1.2769900000000001</v>
          </cell>
          <cell r="CP18">
            <v>0</v>
          </cell>
          <cell r="CQ18">
            <v>0</v>
          </cell>
          <cell r="CR18">
            <v>1426.8893575775801</v>
          </cell>
          <cell r="CS18">
            <v>870.3765861068747</v>
          </cell>
          <cell r="CT18">
            <v>5669.2074677397541</v>
          </cell>
          <cell r="CU18">
            <v>1235</v>
          </cell>
          <cell r="CV18">
            <v>1235</v>
          </cell>
          <cell r="CW18">
            <v>0</v>
          </cell>
          <cell r="CX18">
            <v>2.7137241814212953</v>
          </cell>
          <cell r="CY18">
            <v>5.0325263157894734E-3</v>
          </cell>
          <cell r="CZ18">
            <v>1.0526315789473684E-2</v>
          </cell>
          <cell r="DA18">
            <v>1.034E-3</v>
          </cell>
          <cell r="DB18">
            <v>0</v>
          </cell>
          <cell r="DC18">
            <v>0</v>
          </cell>
          <cell r="DD18">
            <v>1.1553759980385263</v>
          </cell>
          <cell r="DE18">
            <v>0.7047583693173074</v>
          </cell>
          <cell r="DF18">
            <v>4.5904513908823921</v>
          </cell>
        </row>
        <row r="19">
          <cell r="B19" t="str">
            <v>RIE14-OCPR</v>
          </cell>
          <cell r="C19" t="str">
            <v>CWCHA</v>
          </cell>
          <cell r="P19">
            <v>400</v>
          </cell>
          <cell r="Q19" t="str">
            <v>HC</v>
          </cell>
          <cell r="S19" t="str">
            <v>PDM</v>
          </cell>
          <cell r="T19" t="str">
            <v>FermControl</v>
          </cell>
          <cell r="AP19">
            <v>0</v>
          </cell>
          <cell r="AQ19">
            <v>650</v>
          </cell>
          <cell r="AS19">
            <v>0</v>
          </cell>
          <cell r="AT19">
            <v>0</v>
          </cell>
          <cell r="AU19">
            <v>0</v>
          </cell>
          <cell r="AX19">
            <v>1</v>
          </cell>
          <cell r="AY19">
            <v>650</v>
          </cell>
          <cell r="AZ19">
            <v>650</v>
          </cell>
          <cell r="BA19">
            <v>617.5</v>
          </cell>
          <cell r="BI19">
            <v>18</v>
          </cell>
          <cell r="BJ19">
            <v>0</v>
          </cell>
          <cell r="BK19">
            <v>50</v>
          </cell>
          <cell r="BL19">
            <v>80</v>
          </cell>
          <cell r="BM19">
            <v>0</v>
          </cell>
          <cell r="BN19">
            <v>0</v>
          </cell>
          <cell r="BP19">
            <v>0</v>
          </cell>
          <cell r="BQ19">
            <v>0</v>
          </cell>
          <cell r="BR19">
            <v>1.2999999999999999E-2</v>
          </cell>
          <cell r="BS19">
            <v>1.95E-2</v>
          </cell>
          <cell r="BT19">
            <v>3.5749999999999997E-2</v>
          </cell>
          <cell r="BU19">
            <v>7.8E-2</v>
          </cell>
          <cell r="BV19">
            <v>0.26</v>
          </cell>
          <cell r="CB19">
            <v>0</v>
          </cell>
          <cell r="CC19">
            <v>0.13</v>
          </cell>
          <cell r="CD19">
            <v>0.19499999999999998</v>
          </cell>
          <cell r="CE19">
            <v>6.5</v>
          </cell>
          <cell r="CF19">
            <v>0.13</v>
          </cell>
          <cell r="CI19">
            <v>7.4099999999999999E-2</v>
          </cell>
          <cell r="CJ19">
            <v>0.1235</v>
          </cell>
          <cell r="CL19">
            <v>837.8623410138249</v>
          </cell>
          <cell r="CM19">
            <v>9.9325849999999996</v>
          </cell>
          <cell r="CN19">
            <v>6.5</v>
          </cell>
          <cell r="CO19">
            <v>0.63849500000000003</v>
          </cell>
          <cell r="CP19">
            <v>0</v>
          </cell>
          <cell r="CQ19">
            <v>0</v>
          </cell>
          <cell r="CR19">
            <v>713.44467878879004</v>
          </cell>
          <cell r="CS19">
            <v>435.18829305343735</v>
          </cell>
          <cell r="CT19">
            <v>2003.5663928560523</v>
          </cell>
          <cell r="CU19">
            <v>617.5</v>
          </cell>
          <cell r="CV19">
            <v>617.5</v>
          </cell>
          <cell r="CW19">
            <v>0</v>
          </cell>
          <cell r="CX19">
            <v>1.3568620907106477</v>
          </cell>
          <cell r="CY19">
            <v>1.6085157894736843E-2</v>
          </cell>
          <cell r="CZ19">
            <v>1.0526315789473684E-2</v>
          </cell>
          <cell r="DA19">
            <v>1.034E-3</v>
          </cell>
          <cell r="DB19">
            <v>0</v>
          </cell>
          <cell r="DC19">
            <v>0</v>
          </cell>
          <cell r="DD19">
            <v>1.1553759980385263</v>
          </cell>
          <cell r="DE19">
            <v>0.7047583693173074</v>
          </cell>
          <cell r="DF19">
            <v>3.2446419317506918</v>
          </cell>
        </row>
        <row r="20">
          <cell r="AP20">
            <v>0</v>
          </cell>
          <cell r="AQ20">
            <v>0</v>
          </cell>
          <cell r="AS20">
            <v>0</v>
          </cell>
          <cell r="AT20">
            <v>0</v>
          </cell>
          <cell r="AU20">
            <v>0</v>
          </cell>
          <cell r="AX20">
            <v>0</v>
          </cell>
          <cell r="AZ20">
            <v>0</v>
          </cell>
          <cell r="BA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Y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I20">
            <v>0</v>
          </cell>
          <cell r="CJ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</row>
        <row r="21">
          <cell r="B21" t="str">
            <v>PIG14-OCFR</v>
          </cell>
          <cell r="C21" t="str">
            <v>NWPIG</v>
          </cell>
          <cell r="D21" t="str">
            <v>CSUO-PIG1</v>
          </cell>
          <cell r="E21" t="str">
            <v>CSU Orange</v>
          </cell>
          <cell r="F21" t="str">
            <v>Pinot Gris</v>
          </cell>
          <cell r="G21">
            <v>0</v>
          </cell>
          <cell r="H21">
            <v>1.7</v>
          </cell>
          <cell r="I21">
            <v>1.7</v>
          </cell>
          <cell r="J21">
            <v>750</v>
          </cell>
          <cell r="M21">
            <v>0.05</v>
          </cell>
          <cell r="P21">
            <v>100</v>
          </cell>
          <cell r="Q21" t="str">
            <v>HC</v>
          </cell>
          <cell r="S21" t="str">
            <v>Cross Evo</v>
          </cell>
          <cell r="T21" t="str">
            <v>FermControl</v>
          </cell>
          <cell r="U21" t="str">
            <v>VP41</v>
          </cell>
          <cell r="AA21">
            <v>5</v>
          </cell>
          <cell r="AN21">
            <v>0.16</v>
          </cell>
          <cell r="AP21">
            <v>2500</v>
          </cell>
          <cell r="AQ21">
            <v>-1225</v>
          </cell>
          <cell r="AS21">
            <v>0</v>
          </cell>
          <cell r="AT21">
            <v>0</v>
          </cell>
          <cell r="AU21">
            <v>0</v>
          </cell>
          <cell r="AX21">
            <v>3</v>
          </cell>
          <cell r="AY21">
            <v>1275</v>
          </cell>
          <cell r="AZ21">
            <v>1275</v>
          </cell>
          <cell r="BA21">
            <v>1211.25</v>
          </cell>
          <cell r="BC21">
            <v>1200</v>
          </cell>
          <cell r="BD21">
            <v>0</v>
          </cell>
          <cell r="BE21">
            <v>100</v>
          </cell>
          <cell r="BF21">
            <v>11.273732718894008</v>
          </cell>
          <cell r="BG21">
            <v>2229.1653456221197</v>
          </cell>
          <cell r="BI21">
            <v>18</v>
          </cell>
          <cell r="BJ21">
            <v>0</v>
          </cell>
          <cell r="BK21">
            <v>50</v>
          </cell>
          <cell r="BL21">
            <v>80</v>
          </cell>
          <cell r="BM21">
            <v>1.1500000000000001</v>
          </cell>
          <cell r="BN21">
            <v>0</v>
          </cell>
          <cell r="BP21">
            <v>0</v>
          </cell>
          <cell r="BQ21">
            <v>0</v>
          </cell>
          <cell r="BR21">
            <v>2.5499999999999998E-2</v>
          </cell>
          <cell r="BS21">
            <v>3.8249999999999999E-2</v>
          </cell>
          <cell r="BT21">
            <v>7.0124999999999993E-2</v>
          </cell>
          <cell r="BU21">
            <v>0.153</v>
          </cell>
          <cell r="BV21">
            <v>0.1275</v>
          </cell>
          <cell r="CB21">
            <v>0</v>
          </cell>
          <cell r="CC21">
            <v>0.255</v>
          </cell>
          <cell r="CD21">
            <v>0.38250000000000001</v>
          </cell>
          <cell r="CE21">
            <v>12.75</v>
          </cell>
          <cell r="CF21">
            <v>0.255</v>
          </cell>
          <cell r="CI21">
            <v>0.14535000000000001</v>
          </cell>
          <cell r="CJ21">
            <v>0.24224999999999999</v>
          </cell>
          <cell r="CL21">
            <v>2229.1653456221197</v>
          </cell>
          <cell r="CM21">
            <v>6.0956475000000001</v>
          </cell>
          <cell r="CN21">
            <v>12.75</v>
          </cell>
          <cell r="CO21">
            <v>1.2524325000000001</v>
          </cell>
          <cell r="CP21">
            <v>0</v>
          </cell>
          <cell r="CQ21">
            <v>0</v>
          </cell>
          <cell r="CR21">
            <v>4198.3475328724953</v>
          </cell>
          <cell r="CS21">
            <v>853.63857483558866</v>
          </cell>
          <cell r="CT21">
            <v>7301.249533330204</v>
          </cell>
          <cell r="CU21">
            <v>1211.25</v>
          </cell>
          <cell r="CV21">
            <v>1211.25</v>
          </cell>
          <cell r="CW21">
            <v>0</v>
          </cell>
          <cell r="CX21">
            <v>1.840384186272132</v>
          </cell>
          <cell r="CY21">
            <v>5.0325263157894734E-3</v>
          </cell>
          <cell r="CZ21">
            <v>1.0526315789473684E-2</v>
          </cell>
          <cell r="DA21">
            <v>1.034E-3</v>
          </cell>
          <cell r="DB21">
            <v>0</v>
          </cell>
          <cell r="DC21">
            <v>0</v>
          </cell>
          <cell r="DD21">
            <v>3.4661279941155794</v>
          </cell>
          <cell r="DE21">
            <v>0.70475836931730751</v>
          </cell>
          <cell r="DF21">
            <v>6.027863391810282</v>
          </cell>
        </row>
        <row r="22">
          <cell r="P22">
            <v>400</v>
          </cell>
          <cell r="Q22" t="str">
            <v>HC</v>
          </cell>
          <cell r="S22" t="str">
            <v>PDM</v>
          </cell>
          <cell r="T22" t="str">
            <v>FermControl</v>
          </cell>
          <cell r="AP22">
            <v>0</v>
          </cell>
          <cell r="AQ22">
            <v>0</v>
          </cell>
          <cell r="AS22">
            <v>0</v>
          </cell>
          <cell r="AT22">
            <v>0</v>
          </cell>
          <cell r="AU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I22">
            <v>18</v>
          </cell>
          <cell r="BJ22">
            <v>0</v>
          </cell>
          <cell r="BK22">
            <v>50</v>
          </cell>
          <cell r="BL22">
            <v>80</v>
          </cell>
          <cell r="BM22">
            <v>0</v>
          </cell>
          <cell r="BN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I22">
            <v>0</v>
          </cell>
          <cell r="CJ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</row>
        <row r="23">
          <cell r="S23" t="str">
            <v>PDM</v>
          </cell>
          <cell r="T23" t="str">
            <v>FermControl</v>
          </cell>
          <cell r="AP23">
            <v>0</v>
          </cell>
          <cell r="AQ23">
            <v>0</v>
          </cell>
          <cell r="AS23">
            <v>0</v>
          </cell>
          <cell r="AT23">
            <v>0</v>
          </cell>
          <cell r="AU23">
            <v>0</v>
          </cell>
          <cell r="AX23">
            <v>0</v>
          </cell>
          <cell r="AZ23">
            <v>0</v>
          </cell>
          <cell r="BA23">
            <v>0</v>
          </cell>
          <cell r="BI23">
            <v>0</v>
          </cell>
          <cell r="BJ23">
            <v>0</v>
          </cell>
          <cell r="BK23">
            <v>50</v>
          </cell>
          <cell r="BL23">
            <v>80</v>
          </cell>
          <cell r="BM23">
            <v>0</v>
          </cell>
          <cell r="BN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Y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I23">
            <v>0</v>
          </cell>
          <cell r="CJ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</row>
        <row r="24">
          <cell r="B24" t="str">
            <v>CHA14-TBFR</v>
          </cell>
          <cell r="C24" t="str">
            <v>RWCHA</v>
          </cell>
          <cell r="D24" t="str">
            <v>BARC-CHA</v>
          </cell>
          <cell r="E24" t="str">
            <v>Mal Barclay</v>
          </cell>
          <cell r="F24" t="str">
            <v>Chardonnay</v>
          </cell>
          <cell r="G24">
            <v>0</v>
          </cell>
          <cell r="H24">
            <v>10.199999999999999</v>
          </cell>
          <cell r="I24">
            <v>10.199999999999999</v>
          </cell>
          <cell r="J24">
            <v>600</v>
          </cell>
          <cell r="K24">
            <v>150</v>
          </cell>
          <cell r="M24">
            <v>0.05</v>
          </cell>
          <cell r="P24">
            <v>100</v>
          </cell>
          <cell r="Q24" t="str">
            <v>HC</v>
          </cell>
          <cell r="S24" t="str">
            <v>Platinum</v>
          </cell>
          <cell r="T24" t="str">
            <v>FermControl</v>
          </cell>
          <cell r="U24" t="str">
            <v>VP41</v>
          </cell>
          <cell r="Z24">
            <v>4</v>
          </cell>
          <cell r="AA24">
            <v>6</v>
          </cell>
          <cell r="AN24">
            <v>0.16</v>
          </cell>
          <cell r="AP24">
            <v>5000</v>
          </cell>
          <cell r="AQ24">
            <v>1120</v>
          </cell>
          <cell r="AS24">
            <v>0</v>
          </cell>
          <cell r="AT24">
            <v>0</v>
          </cell>
          <cell r="AU24">
            <v>0</v>
          </cell>
          <cell r="AX24">
            <v>3</v>
          </cell>
          <cell r="AY24">
            <v>6120</v>
          </cell>
          <cell r="AZ24">
            <v>6120</v>
          </cell>
          <cell r="BA24">
            <v>5814</v>
          </cell>
          <cell r="BC24">
            <v>1900</v>
          </cell>
          <cell r="BD24">
            <v>250</v>
          </cell>
          <cell r="BE24">
            <v>100</v>
          </cell>
          <cell r="BF24">
            <v>11.273732718894008</v>
          </cell>
          <cell r="BG24">
            <v>23064.992073732716</v>
          </cell>
          <cell r="BI24">
            <v>18</v>
          </cell>
          <cell r="BJ24">
            <v>0</v>
          </cell>
          <cell r="BK24">
            <v>85</v>
          </cell>
          <cell r="BL24">
            <v>80</v>
          </cell>
          <cell r="BM24">
            <v>1.1500000000000001</v>
          </cell>
          <cell r="BN24">
            <v>0</v>
          </cell>
          <cell r="BP24">
            <v>0</v>
          </cell>
          <cell r="BQ24">
            <v>0</v>
          </cell>
          <cell r="BR24">
            <v>0.12239999999999999</v>
          </cell>
          <cell r="BS24">
            <v>0.18359999999999999</v>
          </cell>
          <cell r="BT24">
            <v>0.33660000000000001</v>
          </cell>
          <cell r="BU24">
            <v>0.73439999999999994</v>
          </cell>
          <cell r="BV24">
            <v>0.61199999999999999</v>
          </cell>
          <cell r="CB24">
            <v>0</v>
          </cell>
          <cell r="CC24">
            <v>1.224</v>
          </cell>
          <cell r="CD24">
            <v>1.8359999999999999</v>
          </cell>
          <cell r="CE24">
            <v>61.2</v>
          </cell>
          <cell r="CF24">
            <v>1.224</v>
          </cell>
          <cell r="CI24">
            <v>0.69767999999999997</v>
          </cell>
          <cell r="CJ24">
            <v>1.1628000000000001</v>
          </cell>
          <cell r="CL24">
            <v>20502.215176651302</v>
          </cell>
          <cell r="CM24">
            <v>29.259107999999998</v>
          </cell>
          <cell r="CN24">
            <v>104.03999999999999</v>
          </cell>
          <cell r="CO24">
            <v>6.0116759999999996</v>
          </cell>
          <cell r="CP24">
            <v>0</v>
          </cell>
          <cell r="CQ24">
            <v>7915.6</v>
          </cell>
          <cell r="CR24">
            <v>20152.068157787977</v>
          </cell>
          <cell r="CS24">
            <v>4097.4651592108257</v>
          </cell>
          <cell r="CT24">
            <v>52806.659277650106</v>
          </cell>
          <cell r="CU24">
            <v>5814</v>
          </cell>
          <cell r="CV24">
            <v>0</v>
          </cell>
          <cell r="CW24">
            <v>5814</v>
          </cell>
          <cell r="CX24">
            <v>3.5263527995616273</v>
          </cell>
          <cell r="CY24">
            <v>5.0325263157894734E-3</v>
          </cell>
          <cell r="CZ24">
            <v>1.7894736842105262E-2</v>
          </cell>
          <cell r="DA24">
            <v>1.034E-3</v>
          </cell>
          <cell r="DB24">
            <v>0</v>
          </cell>
          <cell r="DC24">
            <v>1.3614723082215343</v>
          </cell>
          <cell r="DD24">
            <v>3.4661279941155789</v>
          </cell>
          <cell r="DE24">
            <v>0.70475836931730751</v>
          </cell>
          <cell r="DF24">
            <v>9.0826727343739435</v>
          </cell>
        </row>
        <row r="25">
          <cell r="B25" t="str">
            <v>CHA14-TBPR</v>
          </cell>
          <cell r="C25" t="str">
            <v>CWCHA</v>
          </cell>
          <cell r="P25">
            <v>400</v>
          </cell>
          <cell r="Q25" t="str">
            <v>HC</v>
          </cell>
          <cell r="S25" t="str">
            <v>Platinum</v>
          </cell>
          <cell r="T25" t="str">
            <v>FermControl</v>
          </cell>
          <cell r="U25" t="str">
            <v>PN4</v>
          </cell>
          <cell r="AP25">
            <v>0</v>
          </cell>
          <cell r="AQ25">
            <v>1530</v>
          </cell>
          <cell r="AS25">
            <v>0</v>
          </cell>
          <cell r="AT25">
            <v>0</v>
          </cell>
          <cell r="AU25">
            <v>0</v>
          </cell>
          <cell r="AX25">
            <v>1</v>
          </cell>
          <cell r="AY25">
            <v>1530</v>
          </cell>
          <cell r="AZ25">
            <v>1530</v>
          </cell>
          <cell r="BA25">
            <v>1453.5</v>
          </cell>
          <cell r="BI25">
            <v>18</v>
          </cell>
          <cell r="BJ25">
            <v>0</v>
          </cell>
          <cell r="BK25">
            <v>85</v>
          </cell>
          <cell r="BL25">
            <v>80</v>
          </cell>
          <cell r="BM25">
            <v>1.1500000000000001</v>
          </cell>
          <cell r="BN25">
            <v>0</v>
          </cell>
          <cell r="BP25">
            <v>0</v>
          </cell>
          <cell r="BQ25">
            <v>0</v>
          </cell>
          <cell r="BR25">
            <v>3.0599999999999999E-2</v>
          </cell>
          <cell r="BS25">
            <v>4.5899999999999996E-2</v>
          </cell>
          <cell r="BT25">
            <v>8.4150000000000003E-2</v>
          </cell>
          <cell r="BU25">
            <v>0.18359999999999999</v>
          </cell>
          <cell r="BV25">
            <v>0.61199999999999999</v>
          </cell>
          <cell r="CB25">
            <v>0</v>
          </cell>
          <cell r="CC25">
            <v>0.30599999999999999</v>
          </cell>
          <cell r="CD25">
            <v>0.45899999999999996</v>
          </cell>
          <cell r="CE25">
            <v>15.3</v>
          </cell>
          <cell r="CF25">
            <v>0.30599999999999999</v>
          </cell>
          <cell r="CI25">
            <v>0.17441999999999999</v>
          </cell>
          <cell r="CJ25">
            <v>0.29070000000000001</v>
          </cell>
          <cell r="CL25">
            <v>2562.7768970814127</v>
          </cell>
          <cell r="CM25">
            <v>23.379776999999997</v>
          </cell>
          <cell r="CN25">
            <v>26.009999999999998</v>
          </cell>
          <cell r="CO25">
            <v>1.5029189999999999</v>
          </cell>
          <cell r="CP25">
            <v>0</v>
          </cell>
          <cell r="CQ25">
            <v>0</v>
          </cell>
          <cell r="CR25">
            <v>1679.339013148998</v>
          </cell>
          <cell r="CS25">
            <v>1024.3662898027064</v>
          </cell>
          <cell r="CT25">
            <v>5317.3748960331177</v>
          </cell>
          <cell r="CU25">
            <v>1453.5</v>
          </cell>
          <cell r="CV25">
            <v>1453.5</v>
          </cell>
          <cell r="CW25">
            <v>0</v>
          </cell>
          <cell r="CX25">
            <v>1.7631763997808136</v>
          </cell>
          <cell r="CY25">
            <v>1.6085157894736839E-2</v>
          </cell>
          <cell r="CZ25">
            <v>1.7894736842105262E-2</v>
          </cell>
          <cell r="DA25">
            <v>1.034E-3</v>
          </cell>
          <cell r="DB25">
            <v>0</v>
          </cell>
          <cell r="DC25">
            <v>0</v>
          </cell>
          <cell r="DD25">
            <v>1.1553759980385263</v>
          </cell>
          <cell r="DE25">
            <v>0.70475836931730751</v>
          </cell>
          <cell r="DF25">
            <v>3.6583246618734901</v>
          </cell>
        </row>
        <row r="26">
          <cell r="B26" t="str">
            <v>CHA14-TBLees</v>
          </cell>
          <cell r="C26" t="str">
            <v>CWCHA</v>
          </cell>
          <cell r="S26" t="str">
            <v>PDM</v>
          </cell>
          <cell r="T26" t="str">
            <v>FermControl</v>
          </cell>
          <cell r="AP26">
            <v>0</v>
          </cell>
          <cell r="AQ26">
            <v>0</v>
          </cell>
          <cell r="AS26">
            <v>0</v>
          </cell>
          <cell r="AT26">
            <v>0</v>
          </cell>
          <cell r="AU26">
            <v>0</v>
          </cell>
          <cell r="AX26">
            <v>0</v>
          </cell>
          <cell r="AZ26">
            <v>0</v>
          </cell>
          <cell r="BA26">
            <v>0</v>
          </cell>
          <cell r="BI26">
            <v>0</v>
          </cell>
          <cell r="BJ26">
            <v>0</v>
          </cell>
          <cell r="BK26">
            <v>50</v>
          </cell>
          <cell r="BL26">
            <v>80</v>
          </cell>
          <cell r="BM26">
            <v>0</v>
          </cell>
          <cell r="BN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Y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I26">
            <v>0</v>
          </cell>
          <cell r="CJ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</row>
        <row r="27">
          <cell r="B27" t="str">
            <v>SAB14-OC1FR</v>
          </cell>
          <cell r="C27" t="str">
            <v>CWSAB</v>
          </cell>
          <cell r="D27" t="str">
            <v>CSUO-SAB1</v>
          </cell>
          <cell r="E27" t="str">
            <v>CSU Orange</v>
          </cell>
          <cell r="F27" t="str">
            <v>Sauvignon Blanc</v>
          </cell>
          <cell r="G27">
            <v>0</v>
          </cell>
          <cell r="H27">
            <v>15.6</v>
          </cell>
          <cell r="I27">
            <v>15.6</v>
          </cell>
          <cell r="J27">
            <v>500</v>
          </cell>
          <cell r="K27">
            <v>250</v>
          </cell>
          <cell r="M27">
            <v>0.05</v>
          </cell>
          <cell r="P27">
            <v>100</v>
          </cell>
          <cell r="Q27" t="str">
            <v>HC</v>
          </cell>
          <cell r="R27" t="str">
            <v>EX</v>
          </cell>
          <cell r="S27" t="str">
            <v>Alchemy II</v>
          </cell>
          <cell r="T27" t="str">
            <v>FermControl</v>
          </cell>
          <cell r="AP27">
            <v>0</v>
          </cell>
          <cell r="AQ27">
            <v>7800</v>
          </cell>
          <cell r="AS27">
            <v>0</v>
          </cell>
          <cell r="AT27">
            <v>0</v>
          </cell>
          <cell r="AU27">
            <v>0</v>
          </cell>
          <cell r="AX27">
            <v>1</v>
          </cell>
          <cell r="AY27">
            <v>7800</v>
          </cell>
          <cell r="AZ27">
            <v>7800</v>
          </cell>
          <cell r="BA27">
            <v>7410</v>
          </cell>
          <cell r="BC27">
            <v>1500</v>
          </cell>
          <cell r="BD27">
            <v>0</v>
          </cell>
          <cell r="BE27">
            <v>100</v>
          </cell>
          <cell r="BF27">
            <v>11.273732718894008</v>
          </cell>
          <cell r="BG27">
            <v>25135.870230414748</v>
          </cell>
          <cell r="BI27">
            <v>18</v>
          </cell>
          <cell r="BJ27">
            <v>220</v>
          </cell>
          <cell r="BK27">
            <v>50</v>
          </cell>
          <cell r="BL27">
            <v>80</v>
          </cell>
          <cell r="BM27">
            <v>0</v>
          </cell>
          <cell r="BN27">
            <v>0</v>
          </cell>
          <cell r="BP27">
            <v>0</v>
          </cell>
          <cell r="BQ27">
            <v>0</v>
          </cell>
          <cell r="BR27">
            <v>0.156</v>
          </cell>
          <cell r="BS27">
            <v>0.23399999999999999</v>
          </cell>
          <cell r="BT27">
            <v>0.42899999999999999</v>
          </cell>
          <cell r="BU27">
            <v>0.93599999999999994</v>
          </cell>
          <cell r="BV27">
            <v>0.77999999999999992</v>
          </cell>
          <cell r="CB27">
            <v>0</v>
          </cell>
          <cell r="CC27">
            <v>1.5599999999999998</v>
          </cell>
          <cell r="CD27">
            <v>2.34</v>
          </cell>
          <cell r="CE27">
            <v>78</v>
          </cell>
          <cell r="CF27">
            <v>1.5599999999999998</v>
          </cell>
          <cell r="CI27">
            <v>0.88919999999999999</v>
          </cell>
          <cell r="CJ27">
            <v>1.482</v>
          </cell>
          <cell r="CL27">
            <v>20108.696184331799</v>
          </cell>
          <cell r="CM27">
            <v>88.771019999999993</v>
          </cell>
          <cell r="CN27">
            <v>77.999999999999986</v>
          </cell>
          <cell r="CO27">
            <v>7.6619399999999995</v>
          </cell>
          <cell r="CP27">
            <v>0</v>
          </cell>
          <cell r="CQ27">
            <v>0</v>
          </cell>
          <cell r="CR27">
            <v>8561.3361454654805</v>
          </cell>
          <cell r="CS27">
            <v>5222.2595166412484</v>
          </cell>
          <cell r="CT27">
            <v>34066.724806438528</v>
          </cell>
          <cell r="CU27">
            <v>7410</v>
          </cell>
          <cell r="CV27">
            <v>7410</v>
          </cell>
          <cell r="CW27">
            <v>0</v>
          </cell>
          <cell r="CX27">
            <v>2.7137241814212953</v>
          </cell>
          <cell r="CY27">
            <v>1.1979894736842104E-2</v>
          </cell>
          <cell r="CZ27">
            <v>1.0526315789473682E-2</v>
          </cell>
          <cell r="DA27">
            <v>1.034E-3</v>
          </cell>
          <cell r="DB27">
            <v>0</v>
          </cell>
          <cell r="DC27">
            <v>0</v>
          </cell>
          <cell r="DD27">
            <v>1.1553759980385263</v>
          </cell>
          <cell r="DE27">
            <v>0.70475836931730751</v>
          </cell>
          <cell r="DF27">
            <v>4.5973987593034451</v>
          </cell>
        </row>
        <row r="28">
          <cell r="B28" t="str">
            <v>SAB14-OC1PR</v>
          </cell>
          <cell r="C28" t="str">
            <v>CWSAB</v>
          </cell>
          <cell r="P28">
            <v>400</v>
          </cell>
          <cell r="Q28" t="str">
            <v>HC</v>
          </cell>
          <cell r="R28" t="str">
            <v>EX</v>
          </cell>
          <cell r="S28" t="str">
            <v>Alchemy II</v>
          </cell>
          <cell r="T28" t="str">
            <v>FermControl</v>
          </cell>
          <cell r="AP28">
            <v>0</v>
          </cell>
          <cell r="AQ28">
            <v>3900</v>
          </cell>
          <cell r="AS28">
            <v>0</v>
          </cell>
          <cell r="AT28">
            <v>0</v>
          </cell>
          <cell r="AU28">
            <v>0</v>
          </cell>
          <cell r="AX28">
            <v>1</v>
          </cell>
          <cell r="AY28">
            <v>3900</v>
          </cell>
          <cell r="AZ28">
            <v>3900</v>
          </cell>
          <cell r="BA28">
            <v>3705</v>
          </cell>
          <cell r="BI28">
            <v>18</v>
          </cell>
          <cell r="BJ28">
            <v>220</v>
          </cell>
          <cell r="BK28">
            <v>50</v>
          </cell>
          <cell r="BL28">
            <v>80</v>
          </cell>
          <cell r="BM28">
            <v>0</v>
          </cell>
          <cell r="BN28">
            <v>0</v>
          </cell>
          <cell r="BP28">
            <v>0</v>
          </cell>
          <cell r="BQ28">
            <v>0</v>
          </cell>
          <cell r="BR28">
            <v>7.8E-2</v>
          </cell>
          <cell r="BS28">
            <v>0.11699999999999999</v>
          </cell>
          <cell r="BT28">
            <v>0.2145</v>
          </cell>
          <cell r="BU28">
            <v>0.46799999999999997</v>
          </cell>
          <cell r="BV28">
            <v>1.5599999999999998</v>
          </cell>
          <cell r="CB28">
            <v>0</v>
          </cell>
          <cell r="CC28">
            <v>0.77999999999999992</v>
          </cell>
          <cell r="CD28">
            <v>1.17</v>
          </cell>
          <cell r="CE28">
            <v>39</v>
          </cell>
          <cell r="CF28">
            <v>0.77999999999999992</v>
          </cell>
          <cell r="CI28">
            <v>0.4446</v>
          </cell>
          <cell r="CJ28">
            <v>0.74099999999999999</v>
          </cell>
          <cell r="CL28">
            <v>5027.1740460829496</v>
          </cell>
          <cell r="CM28">
            <v>85.335509999999999</v>
          </cell>
          <cell r="CN28">
            <v>38.999999999999993</v>
          </cell>
          <cell r="CO28">
            <v>3.8309699999999998</v>
          </cell>
          <cell r="CP28">
            <v>0</v>
          </cell>
          <cell r="CQ28">
            <v>0</v>
          </cell>
          <cell r="CR28">
            <v>4280.6680727327403</v>
          </cell>
          <cell r="CS28">
            <v>2611.1297583206242</v>
          </cell>
          <cell r="CT28">
            <v>12047.138357136315</v>
          </cell>
          <cell r="CU28">
            <v>3705</v>
          </cell>
          <cell r="CV28">
            <v>3705</v>
          </cell>
          <cell r="CW28">
            <v>0</v>
          </cell>
          <cell r="CX28">
            <v>1.3568620907106477</v>
          </cell>
          <cell r="CY28">
            <v>2.3032526315789472E-2</v>
          </cell>
          <cell r="CZ28">
            <v>1.0526315789473682E-2</v>
          </cell>
          <cell r="DA28">
            <v>1.034E-3</v>
          </cell>
          <cell r="DB28">
            <v>0</v>
          </cell>
          <cell r="DC28">
            <v>0</v>
          </cell>
          <cell r="DD28">
            <v>1.1553759980385263</v>
          </cell>
          <cell r="DE28">
            <v>0.70475836931730751</v>
          </cell>
          <cell r="DF28">
            <v>3.2515893001717449</v>
          </cell>
        </row>
        <row r="29">
          <cell r="B29" t="str">
            <v>SAB14-OC1Lees</v>
          </cell>
          <cell r="C29" t="str">
            <v>CWSAB</v>
          </cell>
          <cell r="S29" t="str">
            <v>Alchemy II</v>
          </cell>
          <cell r="T29" t="str">
            <v>FermControl</v>
          </cell>
          <cell r="AP29">
            <v>0</v>
          </cell>
          <cell r="AQ29">
            <v>0</v>
          </cell>
          <cell r="AS29">
            <v>0</v>
          </cell>
          <cell r="AT29">
            <v>0</v>
          </cell>
          <cell r="AU29">
            <v>0</v>
          </cell>
          <cell r="AX29">
            <v>0</v>
          </cell>
          <cell r="AZ29">
            <v>0</v>
          </cell>
          <cell r="BA29">
            <v>0</v>
          </cell>
          <cell r="BI29">
            <v>0</v>
          </cell>
          <cell r="BJ29">
            <v>0</v>
          </cell>
          <cell r="BK29">
            <v>50</v>
          </cell>
          <cell r="BL29">
            <v>80</v>
          </cell>
          <cell r="BM29">
            <v>0</v>
          </cell>
          <cell r="BN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Y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I29">
            <v>0</v>
          </cell>
          <cell r="CJ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>
            <v>0</v>
          </cell>
          <cell r="CX29">
            <v>0</v>
          </cell>
          <cell r="CY29">
            <v>0</v>
          </cell>
          <cell r="CZ29">
            <v>0</v>
          </cell>
          <cell r="DA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</row>
        <row r="30">
          <cell r="B30" t="str">
            <v>SAB14-OC2FR</v>
          </cell>
          <cell r="C30" t="str">
            <v>CWSAB</v>
          </cell>
          <cell r="D30" t="str">
            <v>CSUO-SAB2</v>
          </cell>
          <cell r="E30" t="str">
            <v>CSU Orange</v>
          </cell>
          <cell r="F30" t="str">
            <v>Sauvignon Blanc</v>
          </cell>
          <cell r="G30">
            <v>0</v>
          </cell>
          <cell r="H30">
            <v>0</v>
          </cell>
          <cell r="J30">
            <v>550</v>
          </cell>
          <cell r="K30">
            <v>250</v>
          </cell>
          <cell r="M30">
            <v>0.05</v>
          </cell>
          <cell r="P30">
            <v>100</v>
          </cell>
          <cell r="Q30" t="str">
            <v>HC</v>
          </cell>
          <cell r="R30" t="str">
            <v>EX</v>
          </cell>
          <cell r="S30" t="str">
            <v>Alchemy II</v>
          </cell>
          <cell r="T30" t="str">
            <v>FermControl</v>
          </cell>
          <cell r="AP30">
            <v>0</v>
          </cell>
          <cell r="AQ30">
            <v>0</v>
          </cell>
          <cell r="AS30">
            <v>0</v>
          </cell>
          <cell r="AT30">
            <v>0</v>
          </cell>
          <cell r="AU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C30">
            <v>1500</v>
          </cell>
          <cell r="BD30">
            <v>0</v>
          </cell>
          <cell r="BE30">
            <v>100</v>
          </cell>
          <cell r="BF30">
            <v>11.273732718894008</v>
          </cell>
          <cell r="BG30">
            <v>0</v>
          </cell>
          <cell r="BI30">
            <v>18</v>
          </cell>
          <cell r="BJ30">
            <v>220</v>
          </cell>
          <cell r="BK30">
            <v>50</v>
          </cell>
          <cell r="BL30">
            <v>80</v>
          </cell>
          <cell r="BM30">
            <v>0</v>
          </cell>
          <cell r="BN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I30">
            <v>0</v>
          </cell>
          <cell r="CJ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>
            <v>0</v>
          </cell>
          <cell r="CX30">
            <v>0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</row>
        <row r="31">
          <cell r="B31" t="str">
            <v>SAB14-OC2PR</v>
          </cell>
          <cell r="C31" t="str">
            <v>CWSAB</v>
          </cell>
          <cell r="P31">
            <v>400</v>
          </cell>
          <cell r="Q31" t="str">
            <v>HC</v>
          </cell>
          <cell r="R31" t="str">
            <v>EX</v>
          </cell>
          <cell r="S31" t="str">
            <v>Alchemy II</v>
          </cell>
          <cell r="T31" t="str">
            <v>FermControl</v>
          </cell>
          <cell r="AP31">
            <v>0</v>
          </cell>
          <cell r="AQ31">
            <v>0</v>
          </cell>
          <cell r="AS31">
            <v>0</v>
          </cell>
          <cell r="AT31">
            <v>0</v>
          </cell>
          <cell r="AU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I31">
            <v>18</v>
          </cell>
          <cell r="BJ31">
            <v>220</v>
          </cell>
          <cell r="BK31">
            <v>50</v>
          </cell>
          <cell r="BL31">
            <v>80</v>
          </cell>
          <cell r="BM31">
            <v>0</v>
          </cell>
          <cell r="BN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I31">
            <v>0</v>
          </cell>
          <cell r="CJ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</row>
        <row r="32">
          <cell r="B32" t="str">
            <v>SAB14-OC2Lees</v>
          </cell>
          <cell r="C32" t="str">
            <v>CWSAB</v>
          </cell>
          <cell r="S32" t="str">
            <v>Alchemy II</v>
          </cell>
          <cell r="T32" t="str">
            <v>FermControl</v>
          </cell>
          <cell r="AP32">
            <v>0</v>
          </cell>
          <cell r="AQ32">
            <v>0</v>
          </cell>
          <cell r="AS32">
            <v>0</v>
          </cell>
          <cell r="AT32">
            <v>0</v>
          </cell>
          <cell r="AU32">
            <v>0</v>
          </cell>
          <cell r="AX32">
            <v>0</v>
          </cell>
          <cell r="AZ32">
            <v>0</v>
          </cell>
          <cell r="BA32">
            <v>0</v>
          </cell>
          <cell r="BI32">
            <v>0</v>
          </cell>
          <cell r="BJ32">
            <v>0</v>
          </cell>
          <cell r="BK32">
            <v>50</v>
          </cell>
          <cell r="BL32">
            <v>80</v>
          </cell>
          <cell r="BM32">
            <v>0</v>
          </cell>
          <cell r="BN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Y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I32">
            <v>0</v>
          </cell>
          <cell r="CJ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>
            <v>0</v>
          </cell>
          <cell r="CX32">
            <v>0</v>
          </cell>
          <cell r="CY32">
            <v>0</v>
          </cell>
          <cell r="CZ32">
            <v>0</v>
          </cell>
          <cell r="DA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</row>
        <row r="33">
          <cell r="B33" t="str">
            <v>FIZ14-OCCHA</v>
          </cell>
          <cell r="C33" t="str">
            <v>NWFNV</v>
          </cell>
          <cell r="D33" t="str">
            <v>CSUO-CHA1</v>
          </cell>
          <cell r="E33" t="str">
            <v>CSU Orange</v>
          </cell>
          <cell r="F33" t="str">
            <v>Chardonnay</v>
          </cell>
          <cell r="G33">
            <v>0</v>
          </cell>
          <cell r="H33">
            <v>24.1</v>
          </cell>
          <cell r="J33">
            <v>500</v>
          </cell>
          <cell r="K33">
            <v>250</v>
          </cell>
          <cell r="M33">
            <v>0.05</v>
          </cell>
          <cell r="N33">
            <v>4</v>
          </cell>
          <cell r="P33">
            <v>100</v>
          </cell>
          <cell r="Q33" t="str">
            <v>HC</v>
          </cell>
          <cell r="S33" t="str">
            <v>Platinum</v>
          </cell>
          <cell r="T33" t="str">
            <v>FermControl</v>
          </cell>
          <cell r="U33" t="str">
            <v>PN4</v>
          </cell>
          <cell r="AP33">
            <v>0</v>
          </cell>
          <cell r="AQ33">
            <v>0</v>
          </cell>
          <cell r="AS33">
            <v>0</v>
          </cell>
          <cell r="AT33">
            <v>0</v>
          </cell>
          <cell r="AU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C33">
            <v>1500</v>
          </cell>
          <cell r="BD33">
            <v>0</v>
          </cell>
          <cell r="BE33">
            <v>100</v>
          </cell>
          <cell r="BF33">
            <v>11.273732718894008</v>
          </cell>
          <cell r="BG33">
            <v>0</v>
          </cell>
          <cell r="BI33">
            <v>18</v>
          </cell>
          <cell r="BJ33">
            <v>0</v>
          </cell>
          <cell r="BK33">
            <v>85</v>
          </cell>
          <cell r="BL33">
            <v>80</v>
          </cell>
          <cell r="BM33">
            <v>1.1500000000000001</v>
          </cell>
          <cell r="BN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I33">
            <v>0</v>
          </cell>
          <cell r="CJ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</row>
        <row r="34">
          <cell r="B34" t="str">
            <v>CHA14-OCFzPR</v>
          </cell>
          <cell r="C34" t="str">
            <v>CWCHA</v>
          </cell>
          <cell r="P34">
            <v>400</v>
          </cell>
          <cell r="Q34" t="str">
            <v>HC</v>
          </cell>
          <cell r="S34" t="str">
            <v>Platinum</v>
          </cell>
          <cell r="T34" t="str">
            <v>FermControl</v>
          </cell>
          <cell r="U34" t="str">
            <v>PN4</v>
          </cell>
          <cell r="AP34">
            <v>0</v>
          </cell>
          <cell r="AQ34">
            <v>0</v>
          </cell>
          <cell r="AS34">
            <v>0</v>
          </cell>
          <cell r="AT34">
            <v>0</v>
          </cell>
          <cell r="AU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I34">
            <v>18</v>
          </cell>
          <cell r="BJ34">
            <v>0</v>
          </cell>
          <cell r="BK34">
            <v>85</v>
          </cell>
          <cell r="BL34">
            <v>80</v>
          </cell>
          <cell r="BM34">
            <v>1.1500000000000001</v>
          </cell>
          <cell r="BN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I34">
            <v>0</v>
          </cell>
          <cell r="CJ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</row>
        <row r="35">
          <cell r="B35" t="str">
            <v>CHA14-OCFzLees</v>
          </cell>
          <cell r="C35" t="str">
            <v>CWCHA</v>
          </cell>
          <cell r="AP35">
            <v>0</v>
          </cell>
          <cell r="AQ35">
            <v>0</v>
          </cell>
          <cell r="AS35">
            <v>0</v>
          </cell>
          <cell r="AT35">
            <v>0</v>
          </cell>
          <cell r="AU35">
            <v>0</v>
          </cell>
          <cell r="AX35">
            <v>0</v>
          </cell>
          <cell r="AZ35">
            <v>0</v>
          </cell>
          <cell r="BA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Y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I35">
            <v>0</v>
          </cell>
          <cell r="CJ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  <cell r="CV35">
            <v>0</v>
          </cell>
          <cell r="CW35">
            <v>0</v>
          </cell>
          <cell r="CX35">
            <v>0</v>
          </cell>
          <cell r="CY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</row>
        <row r="36">
          <cell r="B36" t="str">
            <v>FIZ14-TBCHA</v>
          </cell>
          <cell r="C36" t="str">
            <v>RWFIZ</v>
          </cell>
          <cell r="D36" t="str">
            <v>BARC-FZCH</v>
          </cell>
          <cell r="E36" t="str">
            <v>Mal Barclay</v>
          </cell>
          <cell r="F36" t="str">
            <v>Fizz Chardonnay</v>
          </cell>
          <cell r="G36">
            <v>0</v>
          </cell>
          <cell r="H36">
            <v>4.2</v>
          </cell>
          <cell r="I36">
            <v>4.2</v>
          </cell>
          <cell r="J36">
            <v>500</v>
          </cell>
          <cell r="K36">
            <v>250</v>
          </cell>
          <cell r="M36">
            <v>0.03</v>
          </cell>
          <cell r="P36">
            <v>100</v>
          </cell>
          <cell r="Q36" t="str">
            <v>HC</v>
          </cell>
          <cell r="S36" t="str">
            <v>Platinum</v>
          </cell>
          <cell r="T36" t="str">
            <v>FermControl</v>
          </cell>
          <cell r="U36" t="str">
            <v>PN4</v>
          </cell>
          <cell r="AI36">
            <v>1</v>
          </cell>
          <cell r="AP36">
            <v>0</v>
          </cell>
          <cell r="AQ36">
            <v>1100</v>
          </cell>
          <cell r="AS36">
            <v>0</v>
          </cell>
          <cell r="AT36">
            <v>0</v>
          </cell>
          <cell r="AU36">
            <v>0</v>
          </cell>
          <cell r="AX36">
            <v>1</v>
          </cell>
          <cell r="AY36">
            <v>2100</v>
          </cell>
          <cell r="AZ36">
            <v>2100</v>
          </cell>
          <cell r="BA36">
            <v>2037</v>
          </cell>
          <cell r="BC36">
            <v>1750</v>
          </cell>
          <cell r="BD36">
            <v>250</v>
          </cell>
          <cell r="BE36">
            <v>100</v>
          </cell>
          <cell r="BF36">
            <v>11.273732718894008</v>
          </cell>
          <cell r="BG36">
            <v>8867.3496774193536</v>
          </cell>
          <cell r="BI36">
            <v>18</v>
          </cell>
          <cell r="BJ36">
            <v>0</v>
          </cell>
          <cell r="BK36">
            <v>85</v>
          </cell>
          <cell r="BL36">
            <v>80</v>
          </cell>
          <cell r="BM36">
            <v>1.1500000000000001</v>
          </cell>
          <cell r="BN36">
            <v>0</v>
          </cell>
          <cell r="BP36">
            <v>0</v>
          </cell>
          <cell r="BQ36">
            <v>0</v>
          </cell>
          <cell r="BR36">
            <v>4.1999999999999996E-2</v>
          </cell>
          <cell r="BS36">
            <v>6.3E-2</v>
          </cell>
          <cell r="BT36">
            <v>0.11549999999999999</v>
          </cell>
          <cell r="BU36">
            <v>0.252</v>
          </cell>
          <cell r="BV36">
            <v>0.21</v>
          </cell>
          <cell r="CB36">
            <v>0</v>
          </cell>
          <cell r="CC36">
            <v>0.42</v>
          </cell>
          <cell r="CD36">
            <v>0.63</v>
          </cell>
          <cell r="CE36">
            <v>21</v>
          </cell>
          <cell r="CF36">
            <v>0.42</v>
          </cell>
          <cell r="CI36">
            <v>0.24443999999999999</v>
          </cell>
          <cell r="CJ36">
            <v>0.40740000000000004</v>
          </cell>
          <cell r="CL36">
            <v>7093.8797419354823</v>
          </cell>
          <cell r="CM36">
            <v>10.03989</v>
          </cell>
          <cell r="CN36">
            <v>35.699999999999996</v>
          </cell>
          <cell r="CO36">
            <v>2.106258</v>
          </cell>
          <cell r="CP36">
            <v>0</v>
          </cell>
          <cell r="CQ36">
            <v>0</v>
          </cell>
          <cell r="CR36">
            <v>2304.97511608686</v>
          </cell>
          <cell r="CS36">
            <v>1405.9929467880283</v>
          </cell>
          <cell r="CT36">
            <v>10852.69395281037</v>
          </cell>
          <cell r="CU36">
            <v>2037</v>
          </cell>
          <cell r="CV36">
            <v>2037</v>
          </cell>
          <cell r="CW36">
            <v>0</v>
          </cell>
          <cell r="CX36">
            <v>3.4825133735569378</v>
          </cell>
          <cell r="CY36">
            <v>4.928762886597938E-3</v>
          </cell>
          <cell r="CZ36">
            <v>1.7525773195876285E-2</v>
          </cell>
          <cell r="DA36">
            <v>1.034E-3</v>
          </cell>
          <cell r="DB36">
            <v>0</v>
          </cell>
          <cell r="DC36">
            <v>0</v>
          </cell>
          <cell r="DD36">
            <v>1.1315538125119589</v>
          </cell>
          <cell r="DE36">
            <v>0.69022726891901243</v>
          </cell>
          <cell r="DF36">
            <v>5.3277829910703831</v>
          </cell>
        </row>
        <row r="37">
          <cell r="B37" t="str">
            <v>CHA14-TBFzPR</v>
          </cell>
          <cell r="C37" t="str">
            <v>CWCHA</v>
          </cell>
          <cell r="P37">
            <v>400</v>
          </cell>
          <cell r="Q37" t="str">
            <v>HC</v>
          </cell>
          <cell r="S37" t="str">
            <v>Platinum</v>
          </cell>
          <cell r="T37" t="str">
            <v>FermControl</v>
          </cell>
          <cell r="U37" t="str">
            <v>PN4</v>
          </cell>
          <cell r="AP37">
            <v>0</v>
          </cell>
          <cell r="AQ37">
            <v>1050</v>
          </cell>
          <cell r="AS37">
            <v>0</v>
          </cell>
          <cell r="AT37">
            <v>0</v>
          </cell>
          <cell r="AU37">
            <v>0</v>
          </cell>
          <cell r="AX37">
            <v>1</v>
          </cell>
          <cell r="AY37">
            <v>1050</v>
          </cell>
          <cell r="AZ37">
            <v>1050</v>
          </cell>
          <cell r="BA37">
            <v>1018.5</v>
          </cell>
          <cell r="BI37">
            <v>18</v>
          </cell>
          <cell r="BJ37">
            <v>0</v>
          </cell>
          <cell r="BK37">
            <v>85</v>
          </cell>
          <cell r="BL37">
            <v>80</v>
          </cell>
          <cell r="BM37">
            <v>1.1500000000000001</v>
          </cell>
          <cell r="BN37">
            <v>0</v>
          </cell>
          <cell r="BP37">
            <v>0</v>
          </cell>
          <cell r="BQ37">
            <v>0</v>
          </cell>
          <cell r="BR37">
            <v>2.0999999999999998E-2</v>
          </cell>
          <cell r="BS37">
            <v>3.15E-2</v>
          </cell>
          <cell r="BT37">
            <v>5.7749999999999996E-2</v>
          </cell>
          <cell r="BU37">
            <v>0.126</v>
          </cell>
          <cell r="BV37">
            <v>0.42</v>
          </cell>
          <cell r="CB37">
            <v>0</v>
          </cell>
          <cell r="CC37">
            <v>0.21</v>
          </cell>
          <cell r="CD37">
            <v>0.315</v>
          </cell>
          <cell r="CE37">
            <v>10.5</v>
          </cell>
          <cell r="CF37">
            <v>0.21</v>
          </cell>
          <cell r="CI37">
            <v>0.12222</v>
          </cell>
          <cell r="CJ37">
            <v>0.20370000000000002</v>
          </cell>
          <cell r="CL37">
            <v>1773.4699354838706</v>
          </cell>
          <cell r="CM37">
            <v>16.044944999999998</v>
          </cell>
          <cell r="CN37">
            <v>17.849999999999998</v>
          </cell>
          <cell r="CO37">
            <v>1.053129</v>
          </cell>
          <cell r="CP37">
            <v>0</v>
          </cell>
          <cell r="CQ37">
            <v>0</v>
          </cell>
          <cell r="CR37">
            <v>1152.48755804343</v>
          </cell>
          <cell r="CS37">
            <v>702.99647339401417</v>
          </cell>
          <cell r="CT37">
            <v>3663.9020409213144</v>
          </cell>
          <cell r="CU37">
            <v>1018.5</v>
          </cell>
          <cell r="CV37">
            <v>1018.5</v>
          </cell>
          <cell r="CW37">
            <v>0</v>
          </cell>
          <cell r="CX37">
            <v>1.7412566867784689</v>
          </cell>
          <cell r="CY37">
            <v>1.5753505154639174E-2</v>
          </cell>
          <cell r="CZ37">
            <v>1.7525773195876285E-2</v>
          </cell>
          <cell r="DA37">
            <v>1.034E-3</v>
          </cell>
          <cell r="DB37">
            <v>0</v>
          </cell>
          <cell r="DC37">
            <v>0</v>
          </cell>
          <cell r="DD37">
            <v>1.1315538125119589</v>
          </cell>
          <cell r="DE37">
            <v>0.69022726891901243</v>
          </cell>
          <cell r="DF37">
            <v>3.5973510465599552</v>
          </cell>
        </row>
        <row r="38">
          <cell r="B38" t="str">
            <v>CHA14-TBFzLees</v>
          </cell>
          <cell r="C38" t="str">
            <v>CWCHA</v>
          </cell>
          <cell r="S38" t="str">
            <v>Platinum</v>
          </cell>
          <cell r="T38" t="str">
            <v>FermControl</v>
          </cell>
          <cell r="U38" t="str">
            <v>PN4</v>
          </cell>
          <cell r="AP38">
            <v>0</v>
          </cell>
          <cell r="AQ38">
            <v>0</v>
          </cell>
          <cell r="AS38">
            <v>0</v>
          </cell>
          <cell r="AT38">
            <v>0</v>
          </cell>
          <cell r="AU38">
            <v>0</v>
          </cell>
          <cell r="AX38">
            <v>0</v>
          </cell>
          <cell r="AZ38">
            <v>0</v>
          </cell>
          <cell r="BA38">
            <v>0</v>
          </cell>
          <cell r="BI38">
            <v>0</v>
          </cell>
          <cell r="BJ38">
            <v>0</v>
          </cell>
          <cell r="BK38">
            <v>85</v>
          </cell>
          <cell r="BL38">
            <v>80</v>
          </cell>
          <cell r="BM38">
            <v>1.1500000000000001</v>
          </cell>
          <cell r="BN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Y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I38">
            <v>0</v>
          </cell>
          <cell r="CJ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</row>
        <row r="39">
          <cell r="B39" t="str">
            <v>FIZ14-TBPIN</v>
          </cell>
          <cell r="C39" t="str">
            <v>RWFIZ</v>
          </cell>
          <cell r="D39" t="str">
            <v>BARC-FZPN</v>
          </cell>
          <cell r="E39" t="str">
            <v>Mal Barclay</v>
          </cell>
          <cell r="F39" t="str">
            <v>Fizz Pinot Noir</v>
          </cell>
          <cell r="G39">
            <v>0</v>
          </cell>
          <cell r="H39">
            <v>6.6</v>
          </cell>
          <cell r="I39">
            <v>6.6</v>
          </cell>
          <cell r="J39">
            <v>500</v>
          </cell>
          <cell r="M39">
            <v>0.03</v>
          </cell>
          <cell r="P39">
            <v>100</v>
          </cell>
          <cell r="Q39" t="str">
            <v>HC</v>
          </cell>
          <cell r="S39" t="str">
            <v>Platinum</v>
          </cell>
          <cell r="T39" t="str">
            <v>FermControl</v>
          </cell>
          <cell r="U39" t="str">
            <v>PN4</v>
          </cell>
          <cell r="AI39">
            <v>2</v>
          </cell>
          <cell r="AP39">
            <v>0</v>
          </cell>
          <cell r="AQ39">
            <v>1300</v>
          </cell>
          <cell r="AS39">
            <v>0</v>
          </cell>
          <cell r="AT39">
            <v>0</v>
          </cell>
          <cell r="AU39">
            <v>0</v>
          </cell>
          <cell r="AX39">
            <v>1</v>
          </cell>
          <cell r="AY39">
            <v>3300</v>
          </cell>
          <cell r="AZ39">
            <v>3300</v>
          </cell>
          <cell r="BA39">
            <v>3201</v>
          </cell>
          <cell r="BC39">
            <v>1750</v>
          </cell>
          <cell r="BD39">
            <v>250</v>
          </cell>
          <cell r="BE39">
            <v>100</v>
          </cell>
          <cell r="BF39">
            <v>11.273732718894008</v>
          </cell>
          <cell r="BG39">
            <v>13934.406635944699</v>
          </cell>
          <cell r="BI39">
            <v>18</v>
          </cell>
          <cell r="BJ39">
            <v>0</v>
          </cell>
          <cell r="BK39">
            <v>85</v>
          </cell>
          <cell r="BL39">
            <v>80</v>
          </cell>
          <cell r="BM39">
            <v>1.1500000000000001</v>
          </cell>
          <cell r="BN39">
            <v>0</v>
          </cell>
          <cell r="BP39">
            <v>0</v>
          </cell>
          <cell r="BQ39">
            <v>0</v>
          </cell>
          <cell r="BR39">
            <v>6.6000000000000003E-2</v>
          </cell>
          <cell r="BS39">
            <v>9.8999999999999991E-2</v>
          </cell>
          <cell r="BT39">
            <v>0.18149999999999999</v>
          </cell>
          <cell r="BU39">
            <v>0.39599999999999996</v>
          </cell>
          <cell r="BV39">
            <v>0.32999999999999996</v>
          </cell>
          <cell r="CB39">
            <v>0</v>
          </cell>
          <cell r="CC39">
            <v>0.65999999999999992</v>
          </cell>
          <cell r="CD39">
            <v>0.99</v>
          </cell>
          <cell r="CE39">
            <v>33</v>
          </cell>
          <cell r="CF39">
            <v>0.65999999999999992</v>
          </cell>
          <cell r="CI39">
            <v>0.38411999999999996</v>
          </cell>
          <cell r="CJ39">
            <v>0.6402000000000001</v>
          </cell>
          <cell r="CL39">
            <v>13934.406635944701</v>
          </cell>
          <cell r="CM39">
            <v>15.77697</v>
          </cell>
          <cell r="CN39">
            <v>56.099999999999994</v>
          </cell>
          <cell r="CO39">
            <v>3.3098340000000004</v>
          </cell>
          <cell r="CP39">
            <v>0</v>
          </cell>
          <cell r="CQ39">
            <v>0</v>
          </cell>
          <cell r="CR39">
            <v>3622.1037538507799</v>
          </cell>
          <cell r="CS39">
            <v>2209.4174878097588</v>
          </cell>
          <cell r="CT39">
            <v>19841.114681605239</v>
          </cell>
          <cell r="CU39">
            <v>3201</v>
          </cell>
          <cell r="CV39">
            <v>3201</v>
          </cell>
          <cell r="CW39">
            <v>0</v>
          </cell>
          <cell r="CX39">
            <v>4.3531417169461735</v>
          </cell>
          <cell r="CY39">
            <v>4.928762886597938E-3</v>
          </cell>
          <cell r="CZ39">
            <v>1.7525773195876285E-2</v>
          </cell>
          <cell r="DA39">
            <v>1.0340000000000002E-3</v>
          </cell>
          <cell r="DB39">
            <v>0</v>
          </cell>
          <cell r="DC39">
            <v>0</v>
          </cell>
          <cell r="DD39">
            <v>1.1315538125119586</v>
          </cell>
          <cell r="DE39">
            <v>0.69022726891901243</v>
          </cell>
          <cell r="DF39">
            <v>6.1984113344596183</v>
          </cell>
        </row>
        <row r="40">
          <cell r="P40">
            <v>400</v>
          </cell>
          <cell r="Q40" t="str">
            <v>HC</v>
          </cell>
          <cell r="R40" t="str">
            <v>EX</v>
          </cell>
          <cell r="S40" t="str">
            <v>AWRI 350</v>
          </cell>
          <cell r="T40" t="str">
            <v>FermControl</v>
          </cell>
          <cell r="U40" t="str">
            <v>PN4</v>
          </cell>
          <cell r="AP40">
            <v>0</v>
          </cell>
          <cell r="AQ40">
            <v>0</v>
          </cell>
          <cell r="AS40">
            <v>0</v>
          </cell>
          <cell r="AT40">
            <v>0</v>
          </cell>
          <cell r="AU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I40">
            <v>18</v>
          </cell>
          <cell r="BJ40">
            <v>220</v>
          </cell>
          <cell r="BK40">
            <v>50</v>
          </cell>
          <cell r="BL40">
            <v>80</v>
          </cell>
          <cell r="BM40">
            <v>1.1500000000000001</v>
          </cell>
          <cell r="BN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I40">
            <v>0</v>
          </cell>
          <cell r="CJ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Y40">
            <v>0</v>
          </cell>
          <cell r="CZ40">
            <v>0</v>
          </cell>
          <cell r="DA40">
            <v>0</v>
          </cell>
          <cell r="DB40">
            <v>0</v>
          </cell>
          <cell r="DC40">
            <v>0</v>
          </cell>
          <cell r="DD40">
            <v>0</v>
          </cell>
          <cell r="DE40">
            <v>0</v>
          </cell>
          <cell r="DF40">
            <v>0</v>
          </cell>
        </row>
        <row r="41">
          <cell r="S41" t="str">
            <v>Platinum</v>
          </cell>
          <cell r="T41" t="str">
            <v>FermControl</v>
          </cell>
          <cell r="AP41">
            <v>0</v>
          </cell>
          <cell r="AQ41">
            <v>0</v>
          </cell>
          <cell r="AS41">
            <v>0</v>
          </cell>
          <cell r="AT41">
            <v>0</v>
          </cell>
          <cell r="AU41">
            <v>0</v>
          </cell>
          <cell r="AX41">
            <v>0</v>
          </cell>
          <cell r="AZ41">
            <v>0</v>
          </cell>
          <cell r="BA41">
            <v>0</v>
          </cell>
          <cell r="BI41">
            <v>0</v>
          </cell>
          <cell r="BJ41">
            <v>0</v>
          </cell>
          <cell r="BK41">
            <v>85</v>
          </cell>
          <cell r="BL41">
            <v>80</v>
          </cell>
          <cell r="BM41">
            <v>0</v>
          </cell>
          <cell r="BN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Y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I41">
            <v>0</v>
          </cell>
          <cell r="CJ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</row>
        <row r="42">
          <cell r="B42" t="str">
            <v>MUS14-WC</v>
          </cell>
          <cell r="C42" t="str">
            <v>CWMOS</v>
          </cell>
          <cell r="D42" t="str">
            <v>CSUW-MUS5</v>
          </cell>
          <cell r="E42" t="str">
            <v>CSU Wagga</v>
          </cell>
          <cell r="F42" t="str">
            <v>Brown Muscat</v>
          </cell>
          <cell r="G42">
            <v>5</v>
          </cell>
          <cell r="H42">
            <v>1.7</v>
          </cell>
          <cell r="I42">
            <v>1.7</v>
          </cell>
          <cell r="J42">
            <v>750</v>
          </cell>
          <cell r="M42">
            <v>0.05</v>
          </cell>
          <cell r="N42">
            <v>4</v>
          </cell>
          <cell r="P42">
            <v>200</v>
          </cell>
          <cell r="Q42" t="str">
            <v>HC</v>
          </cell>
          <cell r="R42" t="str">
            <v>EX</v>
          </cell>
          <cell r="S42" t="str">
            <v>AWRI 350</v>
          </cell>
          <cell r="T42" t="str">
            <v>FermControl</v>
          </cell>
          <cell r="AP42">
            <v>0</v>
          </cell>
          <cell r="AQ42">
            <v>1275</v>
          </cell>
          <cell r="AS42">
            <v>0</v>
          </cell>
          <cell r="AT42">
            <v>0</v>
          </cell>
          <cell r="AU42">
            <v>0</v>
          </cell>
          <cell r="AX42">
            <v>1</v>
          </cell>
          <cell r="AY42">
            <v>1275</v>
          </cell>
          <cell r="AZ42">
            <v>1275</v>
          </cell>
          <cell r="BA42">
            <v>1211.25</v>
          </cell>
          <cell r="BC42">
            <v>500</v>
          </cell>
          <cell r="BD42">
            <v>0</v>
          </cell>
          <cell r="BE42">
            <v>0</v>
          </cell>
          <cell r="BF42">
            <v>11.273732718894008</v>
          </cell>
          <cell r="BG42">
            <v>869.16534562211973</v>
          </cell>
          <cell r="BI42">
            <v>18</v>
          </cell>
          <cell r="BJ42">
            <v>220</v>
          </cell>
          <cell r="BK42">
            <v>50</v>
          </cell>
          <cell r="BL42">
            <v>80</v>
          </cell>
          <cell r="BM42">
            <v>0</v>
          </cell>
          <cell r="BN42">
            <v>0</v>
          </cell>
          <cell r="BP42">
            <v>5.1000000000000005</v>
          </cell>
          <cell r="BQ42">
            <v>0</v>
          </cell>
          <cell r="BR42">
            <v>2.5499999999999998E-2</v>
          </cell>
          <cell r="BS42">
            <v>3.8249999999999999E-2</v>
          </cell>
          <cell r="BT42">
            <v>7.0124999999999993E-2</v>
          </cell>
          <cell r="BU42">
            <v>0.153</v>
          </cell>
          <cell r="BV42">
            <v>0.255</v>
          </cell>
          <cell r="CB42">
            <v>0</v>
          </cell>
          <cell r="CC42">
            <v>0.255</v>
          </cell>
          <cell r="CD42">
            <v>0.38250000000000001</v>
          </cell>
          <cell r="CE42">
            <v>12.75</v>
          </cell>
          <cell r="CF42">
            <v>0.255</v>
          </cell>
          <cell r="CI42">
            <v>0.14535000000000001</v>
          </cell>
          <cell r="CJ42">
            <v>0.24224999999999999</v>
          </cell>
          <cell r="CL42">
            <v>869.16534562211973</v>
          </cell>
          <cell r="CM42">
            <v>57.631147499999997</v>
          </cell>
          <cell r="CN42">
            <v>12.75</v>
          </cell>
          <cell r="CO42">
            <v>1.2524325000000001</v>
          </cell>
          <cell r="CP42">
            <v>0</v>
          </cell>
          <cell r="CQ42">
            <v>0</v>
          </cell>
          <cell r="CR42">
            <v>1399.449177624165</v>
          </cell>
          <cell r="CS42">
            <v>853.63857483558866</v>
          </cell>
          <cell r="CT42">
            <v>3193.8866780818735</v>
          </cell>
          <cell r="CU42">
            <v>1211.25</v>
          </cell>
          <cell r="CV42">
            <v>1211.25</v>
          </cell>
          <cell r="CW42">
            <v>0</v>
          </cell>
          <cell r="CX42">
            <v>0.71757716872827226</v>
          </cell>
          <cell r="CY42">
            <v>4.7579894736842106E-2</v>
          </cell>
          <cell r="CZ42">
            <v>1.0526315789473684E-2</v>
          </cell>
          <cell r="DA42">
            <v>1.034E-3</v>
          </cell>
          <cell r="DB42">
            <v>0</v>
          </cell>
          <cell r="DC42">
            <v>0</v>
          </cell>
          <cell r="DD42">
            <v>1.1553759980385263</v>
          </cell>
          <cell r="DE42">
            <v>0.70475836931730751</v>
          </cell>
          <cell r="DF42">
            <v>2.636851746610422</v>
          </cell>
        </row>
        <row r="43">
          <cell r="AP43">
            <v>0</v>
          </cell>
          <cell r="AQ43">
            <v>0</v>
          </cell>
          <cell r="AS43">
            <v>0</v>
          </cell>
          <cell r="AT43">
            <v>0</v>
          </cell>
          <cell r="AU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I43">
            <v>0</v>
          </cell>
          <cell r="CJ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  <cell r="DA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</row>
        <row r="44">
          <cell r="B44" t="str">
            <v>MUS14-WCLees</v>
          </cell>
          <cell r="C44" t="str">
            <v>CWMOS</v>
          </cell>
          <cell r="AP44">
            <v>0</v>
          </cell>
          <cell r="AQ44">
            <v>0</v>
          </cell>
          <cell r="AS44">
            <v>0</v>
          </cell>
          <cell r="AT44">
            <v>0</v>
          </cell>
          <cell r="AU44">
            <v>0</v>
          </cell>
          <cell r="AX44">
            <v>0</v>
          </cell>
          <cell r="AZ44">
            <v>0</v>
          </cell>
          <cell r="BA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Y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I44">
            <v>0</v>
          </cell>
          <cell r="CJ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</row>
        <row r="45">
          <cell r="E45" t="str">
            <v/>
          </cell>
          <cell r="F45" t="str">
            <v/>
          </cell>
          <cell r="G45" t="str">
            <v/>
          </cell>
          <cell r="H45" t="str">
            <v/>
          </cell>
          <cell r="J45">
            <v>600</v>
          </cell>
          <cell r="K45">
            <v>250</v>
          </cell>
          <cell r="M45">
            <v>0.05</v>
          </cell>
          <cell r="P45">
            <v>100</v>
          </cell>
          <cell r="Q45" t="str">
            <v>HC</v>
          </cell>
          <cell r="S45" t="str">
            <v>AWRI 350</v>
          </cell>
          <cell r="T45" t="str">
            <v>FermControl</v>
          </cell>
          <cell r="AP45">
            <v>0</v>
          </cell>
          <cell r="AQ45">
            <v>0</v>
          </cell>
          <cell r="AS45">
            <v>0</v>
          </cell>
          <cell r="AT45">
            <v>0</v>
          </cell>
          <cell r="AU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11.273732718894008</v>
          </cell>
          <cell r="BG45">
            <v>0</v>
          </cell>
          <cell r="BI45">
            <v>18</v>
          </cell>
          <cell r="BJ45">
            <v>0</v>
          </cell>
          <cell r="BK45">
            <v>50</v>
          </cell>
          <cell r="BL45">
            <v>80</v>
          </cell>
          <cell r="BM45">
            <v>0</v>
          </cell>
          <cell r="BN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I45">
            <v>0</v>
          </cell>
          <cell r="CJ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  <cell r="CV45">
            <v>0</v>
          </cell>
          <cell r="CW45">
            <v>0</v>
          </cell>
          <cell r="CX45">
            <v>0</v>
          </cell>
          <cell r="CY45">
            <v>0</v>
          </cell>
          <cell r="CZ45">
            <v>0</v>
          </cell>
          <cell r="DA45">
            <v>0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0</v>
          </cell>
        </row>
        <row r="46">
          <cell r="P46">
            <v>400</v>
          </cell>
          <cell r="Q46" t="str">
            <v>HC</v>
          </cell>
          <cell r="S46" t="str">
            <v>PDM</v>
          </cell>
          <cell r="T46" t="str">
            <v>FermControl</v>
          </cell>
          <cell r="AP46">
            <v>0</v>
          </cell>
          <cell r="AQ46">
            <v>0</v>
          </cell>
          <cell r="AS46">
            <v>0</v>
          </cell>
          <cell r="AT46">
            <v>0</v>
          </cell>
          <cell r="AU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I46">
            <v>18</v>
          </cell>
          <cell r="BJ46">
            <v>0</v>
          </cell>
          <cell r="BK46">
            <v>50</v>
          </cell>
          <cell r="BL46">
            <v>80</v>
          </cell>
          <cell r="BM46">
            <v>0</v>
          </cell>
          <cell r="BN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I46">
            <v>0</v>
          </cell>
          <cell r="CJ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CY46">
            <v>0</v>
          </cell>
          <cell r="CZ46">
            <v>0</v>
          </cell>
          <cell r="DA46">
            <v>0</v>
          </cell>
          <cell r="DB46">
            <v>0</v>
          </cell>
          <cell r="DC46">
            <v>0</v>
          </cell>
          <cell r="DD46">
            <v>0</v>
          </cell>
          <cell r="DE46">
            <v>0</v>
          </cell>
          <cell r="DF46">
            <v>0</v>
          </cell>
        </row>
        <row r="47">
          <cell r="S47" t="str">
            <v>PDM</v>
          </cell>
          <cell r="T47" t="str">
            <v>FermControl</v>
          </cell>
          <cell r="AP47">
            <v>0</v>
          </cell>
          <cell r="AQ47">
            <v>0</v>
          </cell>
          <cell r="AS47">
            <v>0</v>
          </cell>
          <cell r="AT47">
            <v>0</v>
          </cell>
          <cell r="AU47">
            <v>0</v>
          </cell>
          <cell r="AX47">
            <v>0</v>
          </cell>
          <cell r="AZ47">
            <v>0</v>
          </cell>
          <cell r="BA47">
            <v>0</v>
          </cell>
          <cell r="BI47">
            <v>0</v>
          </cell>
          <cell r="BJ47">
            <v>0</v>
          </cell>
          <cell r="BK47">
            <v>50</v>
          </cell>
          <cell r="BL47">
            <v>80</v>
          </cell>
          <cell r="BM47">
            <v>0</v>
          </cell>
          <cell r="BN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Y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I47">
            <v>0</v>
          </cell>
          <cell r="CJ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0</v>
          </cell>
        </row>
        <row r="48">
          <cell r="E48" t="str">
            <v/>
          </cell>
          <cell r="F48" t="str">
            <v/>
          </cell>
          <cell r="G48" t="str">
            <v/>
          </cell>
          <cell r="H48" t="str">
            <v/>
          </cell>
          <cell r="J48">
            <v>500</v>
          </cell>
          <cell r="K48">
            <v>250</v>
          </cell>
          <cell r="M48">
            <v>0.05</v>
          </cell>
          <cell r="P48">
            <v>100</v>
          </cell>
          <cell r="Q48" t="str">
            <v>HC</v>
          </cell>
          <cell r="S48" t="str">
            <v>PDM</v>
          </cell>
          <cell r="T48" t="str">
            <v>FermControl</v>
          </cell>
          <cell r="AP48">
            <v>0</v>
          </cell>
          <cell r="AQ48">
            <v>0</v>
          </cell>
          <cell r="AS48">
            <v>0</v>
          </cell>
          <cell r="AT48">
            <v>0</v>
          </cell>
          <cell r="AU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11.273732718894008</v>
          </cell>
          <cell r="BG48">
            <v>0</v>
          </cell>
          <cell r="BI48">
            <v>18</v>
          </cell>
          <cell r="BJ48">
            <v>0</v>
          </cell>
          <cell r="BK48">
            <v>50</v>
          </cell>
          <cell r="BL48">
            <v>80</v>
          </cell>
          <cell r="BM48">
            <v>0</v>
          </cell>
          <cell r="BN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I48">
            <v>0</v>
          </cell>
          <cell r="CJ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  <cell r="CV48">
            <v>0</v>
          </cell>
          <cell r="CW48">
            <v>0</v>
          </cell>
          <cell r="CX48">
            <v>0</v>
          </cell>
          <cell r="CY48">
            <v>0</v>
          </cell>
          <cell r="CZ48">
            <v>0</v>
          </cell>
          <cell r="DA48">
            <v>0</v>
          </cell>
          <cell r="DB48">
            <v>0</v>
          </cell>
          <cell r="DC48">
            <v>0</v>
          </cell>
          <cell r="DD48">
            <v>0</v>
          </cell>
          <cell r="DE48">
            <v>0</v>
          </cell>
          <cell r="DF48">
            <v>0</v>
          </cell>
        </row>
        <row r="49">
          <cell r="L49" t="str">
            <v>Gross lees</v>
          </cell>
          <cell r="M49" t="str">
            <v>Post-ferment lees</v>
          </cell>
          <cell r="P49">
            <v>400</v>
          </cell>
          <cell r="Q49" t="str">
            <v>HC</v>
          </cell>
          <cell r="S49" t="str">
            <v>PDM</v>
          </cell>
          <cell r="T49" t="str">
            <v>FermControl</v>
          </cell>
          <cell r="AP49">
            <v>0</v>
          </cell>
          <cell r="AQ49">
            <v>0</v>
          </cell>
          <cell r="AS49">
            <v>0</v>
          </cell>
          <cell r="AT49">
            <v>0</v>
          </cell>
          <cell r="AU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I49">
            <v>18</v>
          </cell>
          <cell r="BJ49">
            <v>0</v>
          </cell>
          <cell r="BK49">
            <v>50</v>
          </cell>
          <cell r="BL49">
            <v>80</v>
          </cell>
          <cell r="BM49">
            <v>0</v>
          </cell>
          <cell r="BN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I49">
            <v>0</v>
          </cell>
          <cell r="CJ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</row>
        <row r="50">
          <cell r="S50" t="str">
            <v>PDM</v>
          </cell>
          <cell r="T50" t="str">
            <v>FermControl</v>
          </cell>
          <cell r="AP50">
            <v>0</v>
          </cell>
          <cell r="AQ50">
            <v>0</v>
          </cell>
          <cell r="AS50">
            <v>0</v>
          </cell>
          <cell r="AT50">
            <v>0</v>
          </cell>
          <cell r="AU50">
            <v>0</v>
          </cell>
          <cell r="AX50">
            <v>0</v>
          </cell>
          <cell r="AZ50">
            <v>0</v>
          </cell>
          <cell r="BA50">
            <v>0</v>
          </cell>
          <cell r="BI50">
            <v>0</v>
          </cell>
          <cell r="BJ50">
            <v>0</v>
          </cell>
          <cell r="BK50">
            <v>50</v>
          </cell>
          <cell r="BL50">
            <v>80</v>
          </cell>
          <cell r="BM50">
            <v>0</v>
          </cell>
          <cell r="BN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Y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I50">
            <v>0</v>
          </cell>
          <cell r="CJ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</row>
        <row r="51">
          <cell r="B51" t="str">
            <v>Juice purchases</v>
          </cell>
          <cell r="H51" t="str">
            <v>Juice price [$/L]</v>
          </cell>
          <cell r="I51" t="str">
            <v>Volume</v>
          </cell>
          <cell r="J51" t="str">
            <v>Processing price [$/L]</v>
          </cell>
          <cell r="K51" t="str">
            <v>Transport price [$/L]</v>
          </cell>
          <cell r="AP51">
            <v>0</v>
          </cell>
          <cell r="AQ51">
            <v>0</v>
          </cell>
          <cell r="AS51">
            <v>0</v>
          </cell>
          <cell r="AT51">
            <v>0</v>
          </cell>
          <cell r="AU51">
            <v>0</v>
          </cell>
          <cell r="AX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I51">
            <v>0</v>
          </cell>
          <cell r="CJ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  <cell r="CV51">
            <v>0</v>
          </cell>
          <cell r="CW51">
            <v>0</v>
          </cell>
          <cell r="CX51">
            <v>0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</row>
        <row r="52">
          <cell r="B52" t="str">
            <v>BatchCode</v>
          </cell>
          <cell r="D52" t="str">
            <v>Producer</v>
          </cell>
          <cell r="E52" t="str">
            <v>Variety</v>
          </cell>
          <cell r="F52" t="str">
            <v>Processing req'd</v>
          </cell>
          <cell r="I52" t="str">
            <v>[L]</v>
          </cell>
          <cell r="AP52">
            <v>0</v>
          </cell>
          <cell r="AQ52">
            <v>0</v>
          </cell>
          <cell r="AS52">
            <v>0</v>
          </cell>
          <cell r="AT52">
            <v>0</v>
          </cell>
          <cell r="AU52">
            <v>0</v>
          </cell>
          <cell r="AX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I52">
            <v>0</v>
          </cell>
          <cell r="CJ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  <cell r="CV52">
            <v>0</v>
          </cell>
          <cell r="CW52">
            <v>0</v>
          </cell>
          <cell r="CX52">
            <v>0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</row>
        <row r="53">
          <cell r="L53">
            <v>0.05</v>
          </cell>
          <cell r="M53">
            <v>0.01</v>
          </cell>
          <cell r="AP53">
            <v>0</v>
          </cell>
          <cell r="AQ53">
            <v>0</v>
          </cell>
          <cell r="AS53">
            <v>0</v>
          </cell>
          <cell r="AT53">
            <v>0</v>
          </cell>
          <cell r="AU53">
            <v>0</v>
          </cell>
          <cell r="AX53">
            <v>0</v>
          </cell>
          <cell r="AZ53">
            <v>0</v>
          </cell>
          <cell r="BA53">
            <v>0</v>
          </cell>
          <cell r="BC53">
            <v>0</v>
          </cell>
          <cell r="BD53">
            <v>0</v>
          </cell>
          <cell r="BE53">
            <v>0</v>
          </cell>
          <cell r="BG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I53">
            <v>0</v>
          </cell>
          <cell r="CJ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</row>
        <row r="54">
          <cell r="L54">
            <v>0.05</v>
          </cell>
          <cell r="M54">
            <v>0.03</v>
          </cell>
          <cell r="AP54">
            <v>0</v>
          </cell>
          <cell r="AQ54">
            <v>0</v>
          </cell>
          <cell r="AS54">
            <v>0</v>
          </cell>
          <cell r="AT54">
            <v>0</v>
          </cell>
          <cell r="AU54">
            <v>0</v>
          </cell>
          <cell r="AX54">
            <v>0</v>
          </cell>
          <cell r="AZ54">
            <v>0</v>
          </cell>
          <cell r="BA54">
            <v>0</v>
          </cell>
          <cell r="BC54">
            <v>0</v>
          </cell>
          <cell r="BD54">
            <v>0</v>
          </cell>
          <cell r="BE54">
            <v>0</v>
          </cell>
          <cell r="BG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I54">
            <v>0</v>
          </cell>
          <cell r="CJ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>
            <v>0</v>
          </cell>
          <cell r="CX54">
            <v>0</v>
          </cell>
          <cell r="CY54">
            <v>0</v>
          </cell>
          <cell r="CZ54">
            <v>0</v>
          </cell>
          <cell r="DA54">
            <v>0</v>
          </cell>
          <cell r="DB54">
            <v>0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</row>
        <row r="55">
          <cell r="L55">
            <v>0.05</v>
          </cell>
          <cell r="M55">
            <v>0.03</v>
          </cell>
          <cell r="AP55">
            <v>0</v>
          </cell>
          <cell r="AQ55">
            <v>0</v>
          </cell>
          <cell r="AS55">
            <v>0</v>
          </cell>
          <cell r="AT55">
            <v>0</v>
          </cell>
          <cell r="AU55">
            <v>0</v>
          </cell>
          <cell r="AX55">
            <v>0</v>
          </cell>
          <cell r="AZ55">
            <v>0</v>
          </cell>
          <cell r="BA55">
            <v>0</v>
          </cell>
          <cell r="BC55">
            <v>0</v>
          </cell>
          <cell r="BD55">
            <v>0</v>
          </cell>
          <cell r="BE55">
            <v>0</v>
          </cell>
          <cell r="BG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I55">
            <v>0</v>
          </cell>
          <cell r="CJ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>
            <v>0</v>
          </cell>
        </row>
        <row r="56">
          <cell r="L56">
            <v>0.05</v>
          </cell>
          <cell r="M56">
            <v>0.03</v>
          </cell>
          <cell r="AP56">
            <v>0</v>
          </cell>
          <cell r="AQ56">
            <v>0</v>
          </cell>
          <cell r="AS56">
            <v>0</v>
          </cell>
          <cell r="AT56">
            <v>0</v>
          </cell>
          <cell r="AU56">
            <v>0</v>
          </cell>
          <cell r="AX56">
            <v>0</v>
          </cell>
          <cell r="AZ56">
            <v>0</v>
          </cell>
          <cell r="BA56">
            <v>0</v>
          </cell>
          <cell r="BC56">
            <v>0</v>
          </cell>
          <cell r="BD56">
            <v>0</v>
          </cell>
          <cell r="BE56">
            <v>0</v>
          </cell>
          <cell r="BG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I56">
            <v>0</v>
          </cell>
          <cell r="CJ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0</v>
          </cell>
          <cell r="CZ56">
            <v>0</v>
          </cell>
          <cell r="DA56">
            <v>0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>
            <v>0</v>
          </cell>
        </row>
        <row r="58">
          <cell r="AZ58">
            <v>46800</v>
          </cell>
          <cell r="BA58">
            <v>44589</v>
          </cell>
          <cell r="DG58">
            <v>52806.659277650106</v>
          </cell>
        </row>
        <row r="61">
          <cell r="I61">
            <v>0</v>
          </cell>
        </row>
        <row r="63">
          <cell r="I63">
            <v>0</v>
          </cell>
        </row>
      </sheetData>
      <sheetData sheetId="6">
        <row r="65">
          <cell r="U65">
            <v>26080</v>
          </cell>
        </row>
        <row r="73">
          <cell r="T73">
            <v>0</v>
          </cell>
        </row>
        <row r="76">
          <cell r="B76" t="str">
            <v>BatchCode</v>
          </cell>
          <cell r="D76" t="str">
            <v>Volume</v>
          </cell>
          <cell r="E76" t="str">
            <v>Price</v>
          </cell>
          <cell r="F76" t="str">
            <v>Volume Used</v>
          </cell>
          <cell r="G76" t="str">
            <v>Available</v>
          </cell>
          <cell r="H76" t="str">
            <v>Comment</v>
          </cell>
        </row>
        <row r="77">
          <cell r="B77" t="str">
            <v>CHA13-RES</v>
          </cell>
          <cell r="D77">
            <v>4000</v>
          </cell>
          <cell r="E77">
            <v>6.52</v>
          </cell>
          <cell r="F77">
            <v>4000</v>
          </cell>
          <cell r="G77">
            <v>0</v>
          </cell>
          <cell r="T77">
            <v>6.52</v>
          </cell>
        </row>
        <row r="78">
          <cell r="F78">
            <v>0</v>
          </cell>
          <cell r="G78">
            <v>0</v>
          </cell>
          <cell r="T78">
            <v>0</v>
          </cell>
        </row>
        <row r="79">
          <cell r="F79">
            <v>0</v>
          </cell>
          <cell r="G79">
            <v>0</v>
          </cell>
          <cell r="T79">
            <v>0</v>
          </cell>
        </row>
        <row r="80">
          <cell r="F80">
            <v>0</v>
          </cell>
          <cell r="G80">
            <v>0</v>
          </cell>
          <cell r="T80">
            <v>0</v>
          </cell>
        </row>
        <row r="81">
          <cell r="F81">
            <v>0</v>
          </cell>
          <cell r="G81">
            <v>0</v>
          </cell>
          <cell r="T81">
            <v>0</v>
          </cell>
        </row>
        <row r="82">
          <cell r="F82">
            <v>0</v>
          </cell>
          <cell r="G82">
            <v>0</v>
          </cell>
          <cell r="T82">
            <v>0</v>
          </cell>
        </row>
        <row r="83">
          <cell r="F83">
            <v>0</v>
          </cell>
          <cell r="G83">
            <v>0</v>
          </cell>
          <cell r="T83">
            <v>0</v>
          </cell>
        </row>
        <row r="84">
          <cell r="F84">
            <v>0</v>
          </cell>
          <cell r="G84">
            <v>0</v>
          </cell>
          <cell r="T84">
            <v>0</v>
          </cell>
        </row>
        <row r="85">
          <cell r="F85">
            <v>0</v>
          </cell>
          <cell r="G85">
            <v>0</v>
          </cell>
          <cell r="T85">
            <v>0</v>
          </cell>
        </row>
        <row r="86">
          <cell r="F86">
            <v>0</v>
          </cell>
          <cell r="G86">
            <v>0</v>
          </cell>
          <cell r="T86">
            <v>0</v>
          </cell>
        </row>
        <row r="87">
          <cell r="F87">
            <v>0</v>
          </cell>
          <cell r="G87">
            <v>0</v>
          </cell>
          <cell r="T87">
            <v>0</v>
          </cell>
        </row>
        <row r="88">
          <cell r="F88">
            <v>0</v>
          </cell>
          <cell r="G88">
            <v>0</v>
          </cell>
          <cell r="T88">
            <v>0</v>
          </cell>
        </row>
        <row r="89">
          <cell r="F89">
            <v>0</v>
          </cell>
          <cell r="G89">
            <v>0</v>
          </cell>
          <cell r="T89">
            <v>0</v>
          </cell>
        </row>
        <row r="90">
          <cell r="F90">
            <v>0</v>
          </cell>
          <cell r="G90">
            <v>0</v>
          </cell>
          <cell r="T90">
            <v>0</v>
          </cell>
        </row>
        <row r="91">
          <cell r="F91">
            <v>0</v>
          </cell>
          <cell r="G91">
            <v>0</v>
          </cell>
          <cell r="T91">
            <v>0</v>
          </cell>
        </row>
        <row r="92">
          <cell r="F92">
            <v>0</v>
          </cell>
          <cell r="G92">
            <v>0</v>
          </cell>
          <cell r="T92">
            <v>0</v>
          </cell>
        </row>
        <row r="93">
          <cell r="F93">
            <v>0</v>
          </cell>
          <cell r="G93">
            <v>0</v>
          </cell>
          <cell r="T93">
            <v>0</v>
          </cell>
        </row>
        <row r="94">
          <cell r="F94">
            <v>0</v>
          </cell>
          <cell r="G94">
            <v>0</v>
          </cell>
          <cell r="T94">
            <v>0</v>
          </cell>
        </row>
        <row r="95">
          <cell r="F95">
            <v>0</v>
          </cell>
          <cell r="G95">
            <v>0</v>
          </cell>
          <cell r="T95">
            <v>0</v>
          </cell>
        </row>
        <row r="96">
          <cell r="F96">
            <v>0</v>
          </cell>
          <cell r="G96">
            <v>0</v>
          </cell>
          <cell r="T96">
            <v>0</v>
          </cell>
        </row>
        <row r="97">
          <cell r="F97">
            <v>0</v>
          </cell>
          <cell r="G97">
            <v>0</v>
          </cell>
          <cell r="T97">
            <v>0</v>
          </cell>
        </row>
        <row r="98">
          <cell r="F98">
            <v>0</v>
          </cell>
          <cell r="G98">
            <v>0</v>
          </cell>
          <cell r="T98">
            <v>0</v>
          </cell>
        </row>
        <row r="99">
          <cell r="F99">
            <v>0</v>
          </cell>
          <cell r="G99">
            <v>0</v>
          </cell>
          <cell r="T99">
            <v>0</v>
          </cell>
        </row>
        <row r="100">
          <cell r="F100">
            <v>0</v>
          </cell>
          <cell r="G100">
            <v>0</v>
          </cell>
          <cell r="T100">
            <v>0</v>
          </cell>
        </row>
        <row r="101">
          <cell r="F101">
            <v>0</v>
          </cell>
          <cell r="G101">
            <v>0</v>
          </cell>
          <cell r="T101">
            <v>0</v>
          </cell>
        </row>
        <row r="102">
          <cell r="F102">
            <v>0</v>
          </cell>
          <cell r="G102">
            <v>0</v>
          </cell>
          <cell r="T102">
            <v>0</v>
          </cell>
        </row>
        <row r="103">
          <cell r="F103">
            <v>0</v>
          </cell>
          <cell r="G103">
            <v>0</v>
          </cell>
          <cell r="T103">
            <v>0</v>
          </cell>
        </row>
      </sheetData>
      <sheetData sheetId="7">
        <row r="34">
          <cell r="H34">
            <v>36610.15</v>
          </cell>
          <cell r="BE34">
            <v>2100</v>
          </cell>
        </row>
      </sheetData>
      <sheetData sheetId="8">
        <row r="34">
          <cell r="H34">
            <v>4818.96</v>
          </cell>
        </row>
      </sheetData>
      <sheetData sheetId="9">
        <row r="5">
          <cell r="A5" t="str">
            <v>BlkCode</v>
          </cell>
          <cell r="B5" t="str">
            <v>Variety</v>
          </cell>
          <cell r="C5" t="str">
            <v>Grower</v>
          </cell>
          <cell r="D5" t="str">
            <v>Blk  .</v>
          </cell>
          <cell r="E5" t="str">
            <v>Type</v>
          </cell>
          <cell r="F5" t="str">
            <v>Date 2013</v>
          </cell>
          <cell r="G5" t="str">
            <v>Actual 2013</v>
          </cell>
          <cell r="H5" t="str">
            <v>Block total</v>
          </cell>
          <cell r="I5" t="str">
            <v>White</v>
          </cell>
          <cell r="J5" t="str">
            <v>Red</v>
          </cell>
          <cell r="K5" t="str">
            <v>Fruit Sales</v>
          </cell>
          <cell r="L5" t="str">
            <v>Processed</v>
          </cell>
          <cell r="M5" t="str">
            <v>Actual harvest</v>
          </cell>
          <cell r="N5" t="str">
            <v>Actual Sale</v>
          </cell>
          <cell r="O5" t="str">
            <v>Purchase price</v>
          </cell>
          <cell r="P5" t="str">
            <v>Transport per tonne</v>
          </cell>
          <cell r="Q5" t="str">
            <v>Processing per tonne</v>
          </cell>
          <cell r="R5" t="str">
            <v>Sale price</v>
          </cell>
          <cell r="S5" t="str">
            <v>Block total cost</v>
          </cell>
          <cell r="T5" t="str">
            <v>CSU Wagga Cost</v>
          </cell>
          <cell r="U5" t="str">
            <v>CSU Wagga Tonnes</v>
          </cell>
          <cell r="V5" t="str">
            <v>CSU Orange Cost</v>
          </cell>
          <cell r="W5" t="str">
            <v>CSU Orange Tonnes</v>
          </cell>
        </row>
        <row r="6">
          <cell r="A6" t="str">
            <v>CSUO-CAS1</v>
          </cell>
          <cell r="B6" t="str">
            <v>Cabernet Sauvignon</v>
          </cell>
          <cell r="C6" t="str">
            <v>CSU Orange</v>
          </cell>
          <cell r="H6">
            <v>1.6</v>
          </cell>
          <cell r="I6">
            <v>0</v>
          </cell>
          <cell r="J6">
            <v>1.6</v>
          </cell>
          <cell r="L6">
            <v>1.6</v>
          </cell>
          <cell r="O6">
            <v>2000</v>
          </cell>
          <cell r="P6">
            <v>100</v>
          </cell>
          <cell r="S6">
            <v>3200</v>
          </cell>
          <cell r="T6" t="str">
            <v/>
          </cell>
          <cell r="U6" t="str">
            <v/>
          </cell>
          <cell r="V6">
            <v>3200</v>
          </cell>
          <cell r="W6">
            <v>1.6</v>
          </cell>
        </row>
        <row r="7">
          <cell r="A7" t="str">
            <v>CSUO-CHA1</v>
          </cell>
          <cell r="B7" t="str">
            <v>Chardonnay</v>
          </cell>
          <cell r="C7" t="str">
            <v>CSU Orange</v>
          </cell>
          <cell r="H7">
            <v>24.1</v>
          </cell>
          <cell r="I7">
            <v>22</v>
          </cell>
          <cell r="J7">
            <v>0</v>
          </cell>
          <cell r="K7">
            <v>2.1</v>
          </cell>
          <cell r="L7">
            <v>22</v>
          </cell>
          <cell r="O7">
            <v>1500</v>
          </cell>
          <cell r="P7">
            <v>100</v>
          </cell>
          <cell r="R7">
            <v>1100</v>
          </cell>
          <cell r="S7">
            <v>33000</v>
          </cell>
          <cell r="T7" t="str">
            <v/>
          </cell>
          <cell r="U7" t="str">
            <v/>
          </cell>
          <cell r="V7">
            <v>33000</v>
          </cell>
          <cell r="W7">
            <v>22</v>
          </cell>
        </row>
        <row r="8">
          <cell r="A8" t="str">
            <v>CSUO-MLT1</v>
          </cell>
          <cell r="B8" t="str">
            <v>Merlot</v>
          </cell>
          <cell r="C8" t="str">
            <v>CSU Orange</v>
          </cell>
          <cell r="D8">
            <v>6</v>
          </cell>
          <cell r="H8">
            <v>2.1</v>
          </cell>
          <cell r="I8">
            <v>0</v>
          </cell>
          <cell r="J8">
            <v>2.1</v>
          </cell>
          <cell r="L8">
            <v>2.1</v>
          </cell>
          <cell r="O8">
            <v>1700</v>
          </cell>
          <cell r="P8">
            <v>100</v>
          </cell>
          <cell r="S8">
            <v>3570</v>
          </cell>
          <cell r="T8" t="str">
            <v/>
          </cell>
          <cell r="U8" t="str">
            <v/>
          </cell>
          <cell r="V8">
            <v>3570</v>
          </cell>
          <cell r="W8">
            <v>2.1</v>
          </cell>
        </row>
        <row r="9">
          <cell r="A9" t="str">
            <v>CSUO-SAB1</v>
          </cell>
          <cell r="B9" t="str">
            <v>Sauvignon Blanc</v>
          </cell>
          <cell r="C9" t="str">
            <v>CSU Orange</v>
          </cell>
          <cell r="H9">
            <v>15.6</v>
          </cell>
          <cell r="I9">
            <v>15.6</v>
          </cell>
          <cell r="J9">
            <v>0</v>
          </cell>
          <cell r="L9">
            <v>15.6</v>
          </cell>
          <cell r="O9">
            <v>1500</v>
          </cell>
          <cell r="P9">
            <v>100</v>
          </cell>
          <cell r="R9">
            <v>1500</v>
          </cell>
          <cell r="S9">
            <v>23400</v>
          </cell>
          <cell r="T9" t="str">
            <v/>
          </cell>
          <cell r="U9" t="str">
            <v/>
          </cell>
          <cell r="V9">
            <v>23400</v>
          </cell>
          <cell r="W9">
            <v>15.6</v>
          </cell>
        </row>
        <row r="10">
          <cell r="A10" t="str">
            <v>CSUO-SAB2</v>
          </cell>
          <cell r="B10" t="str">
            <v>Sauvignon Blanc</v>
          </cell>
          <cell r="C10" t="str">
            <v>CSU Orange</v>
          </cell>
          <cell r="H10">
            <v>0</v>
          </cell>
          <cell r="I10">
            <v>0</v>
          </cell>
          <cell r="J10">
            <v>0</v>
          </cell>
          <cell r="L10">
            <v>0</v>
          </cell>
          <cell r="O10">
            <v>1500</v>
          </cell>
          <cell r="P10">
            <v>100</v>
          </cell>
          <cell r="S10">
            <v>0</v>
          </cell>
          <cell r="T10" t="str">
            <v/>
          </cell>
          <cell r="U10" t="str">
            <v/>
          </cell>
          <cell r="V10">
            <v>0</v>
          </cell>
          <cell r="W10">
            <v>0</v>
          </cell>
        </row>
        <row r="11">
          <cell r="A11" t="str">
            <v>CSUO-SHZ1</v>
          </cell>
          <cell r="B11" t="str">
            <v>Shiraz</v>
          </cell>
          <cell r="C11" t="str">
            <v>CSU Orange</v>
          </cell>
          <cell r="H11">
            <v>0</v>
          </cell>
          <cell r="I11">
            <v>0</v>
          </cell>
          <cell r="J11">
            <v>0</v>
          </cell>
          <cell r="L11">
            <v>0</v>
          </cell>
          <cell r="O11">
            <v>1300</v>
          </cell>
          <cell r="P11">
            <v>100</v>
          </cell>
          <cell r="S11">
            <v>0</v>
          </cell>
          <cell r="T11" t="str">
            <v/>
          </cell>
          <cell r="U11" t="str">
            <v/>
          </cell>
          <cell r="V11">
            <v>0</v>
          </cell>
          <cell r="W11">
            <v>0</v>
          </cell>
        </row>
        <row r="12">
          <cell r="A12" t="str">
            <v>CSUO-SHZ2</v>
          </cell>
          <cell r="B12" t="str">
            <v>Shiraz</v>
          </cell>
          <cell r="C12" t="str">
            <v>CSU Orange</v>
          </cell>
          <cell r="D12" t="str">
            <v>Prem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O12">
            <v>2000</v>
          </cell>
          <cell r="P12">
            <v>100</v>
          </cell>
          <cell r="S12">
            <v>0</v>
          </cell>
          <cell r="T12" t="str">
            <v/>
          </cell>
          <cell r="U12" t="str">
            <v/>
          </cell>
          <cell r="V12">
            <v>0</v>
          </cell>
          <cell r="W12">
            <v>0</v>
          </cell>
        </row>
        <row r="13">
          <cell r="A13" t="str">
            <v>CSUO-RIE1</v>
          </cell>
          <cell r="B13" t="str">
            <v>Riesling</v>
          </cell>
          <cell r="C13" t="str">
            <v>CSU Orange</v>
          </cell>
          <cell r="H13">
            <v>2.6</v>
          </cell>
          <cell r="I13">
            <v>2.6</v>
          </cell>
          <cell r="J13">
            <v>0</v>
          </cell>
          <cell r="L13">
            <v>2.6</v>
          </cell>
          <cell r="O13">
            <v>1500</v>
          </cell>
          <cell r="P13">
            <v>100</v>
          </cell>
          <cell r="R13">
            <v>1500</v>
          </cell>
          <cell r="S13">
            <v>3900</v>
          </cell>
          <cell r="T13" t="str">
            <v/>
          </cell>
          <cell r="U13" t="str">
            <v/>
          </cell>
          <cell r="V13">
            <v>3900</v>
          </cell>
          <cell r="W13">
            <v>2.6</v>
          </cell>
        </row>
        <row r="14">
          <cell r="A14" t="str">
            <v>CSUO-PIG1</v>
          </cell>
          <cell r="B14" t="str">
            <v>Pinot Gris</v>
          </cell>
          <cell r="C14" t="str">
            <v>CSU Orange</v>
          </cell>
          <cell r="H14">
            <v>1.7</v>
          </cell>
          <cell r="I14">
            <v>1.7</v>
          </cell>
          <cell r="J14">
            <v>0</v>
          </cell>
          <cell r="L14">
            <v>1.7</v>
          </cell>
          <cell r="O14">
            <v>1200</v>
          </cell>
          <cell r="P14">
            <v>100</v>
          </cell>
          <cell r="S14">
            <v>2040</v>
          </cell>
          <cell r="T14" t="str">
            <v/>
          </cell>
          <cell r="U14" t="str">
            <v/>
          </cell>
          <cell r="V14">
            <v>2040</v>
          </cell>
          <cell r="W14">
            <v>1.7</v>
          </cell>
        </row>
        <row r="15">
          <cell r="A15" t="str">
            <v>CSUW-MUS5</v>
          </cell>
          <cell r="B15" t="str">
            <v>Brown Muscat</v>
          </cell>
          <cell r="C15" t="str">
            <v>CSU Wagga</v>
          </cell>
          <cell r="D15">
            <v>5</v>
          </cell>
          <cell r="H15">
            <v>1.7</v>
          </cell>
          <cell r="I15">
            <v>1.7</v>
          </cell>
          <cell r="J15">
            <v>0</v>
          </cell>
          <cell r="L15">
            <v>1.7</v>
          </cell>
          <cell r="O15">
            <v>500</v>
          </cell>
          <cell r="S15">
            <v>850</v>
          </cell>
          <cell r="T15">
            <v>850</v>
          </cell>
          <cell r="U15">
            <v>1.7</v>
          </cell>
          <cell r="V15" t="str">
            <v/>
          </cell>
          <cell r="W15" t="str">
            <v/>
          </cell>
        </row>
        <row r="16">
          <cell r="A16" t="str">
            <v>CSUW-CAS5</v>
          </cell>
          <cell r="B16" t="str">
            <v>Cabernet Sauvignon</v>
          </cell>
          <cell r="C16" t="str">
            <v>CSU Wagga</v>
          </cell>
          <cell r="D16">
            <v>5</v>
          </cell>
          <cell r="H16">
            <v>8.5</v>
          </cell>
          <cell r="I16">
            <v>0</v>
          </cell>
          <cell r="J16">
            <v>0</v>
          </cell>
          <cell r="K16">
            <v>8.5</v>
          </cell>
          <cell r="L16">
            <v>0</v>
          </cell>
          <cell r="O16">
            <v>400</v>
          </cell>
          <cell r="R16">
            <v>400</v>
          </cell>
          <cell r="S16">
            <v>0</v>
          </cell>
          <cell r="T16">
            <v>0</v>
          </cell>
          <cell r="U16">
            <v>0</v>
          </cell>
          <cell r="V16" t="str">
            <v/>
          </cell>
          <cell r="W16" t="str">
            <v/>
          </cell>
        </row>
        <row r="17">
          <cell r="A17" t="str">
            <v>CSUW-CHA4</v>
          </cell>
          <cell r="B17" t="str">
            <v>Chardonnay</v>
          </cell>
          <cell r="C17" t="str">
            <v>CSU Wagga</v>
          </cell>
          <cell r="D17">
            <v>4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O17">
            <v>400</v>
          </cell>
          <cell r="R17">
            <v>400</v>
          </cell>
          <cell r="S17">
            <v>0</v>
          </cell>
          <cell r="T17">
            <v>0</v>
          </cell>
          <cell r="U17">
            <v>0</v>
          </cell>
          <cell r="V17" t="str">
            <v/>
          </cell>
          <cell r="W17" t="str">
            <v/>
          </cell>
        </row>
        <row r="18">
          <cell r="A18" t="str">
            <v>CSUW-SHZ5</v>
          </cell>
          <cell r="B18" t="str">
            <v>Shiraz</v>
          </cell>
          <cell r="C18" t="str">
            <v>CSU Wagga</v>
          </cell>
          <cell r="D18">
            <v>5</v>
          </cell>
          <cell r="H18">
            <v>4.0999999999999996</v>
          </cell>
          <cell r="I18">
            <v>0</v>
          </cell>
          <cell r="J18">
            <v>4.0999999999999996</v>
          </cell>
          <cell r="L18">
            <v>4.0999999999999996</v>
          </cell>
          <cell r="O18">
            <v>650</v>
          </cell>
          <cell r="R18">
            <v>650</v>
          </cell>
          <cell r="S18">
            <v>2664.9999999999995</v>
          </cell>
          <cell r="T18">
            <v>2664.9999999999995</v>
          </cell>
          <cell r="U18">
            <v>4.0999999999999996</v>
          </cell>
          <cell r="V18" t="str">
            <v/>
          </cell>
          <cell r="W18" t="str">
            <v/>
          </cell>
        </row>
        <row r="19">
          <cell r="A19" t="str">
            <v>CSUW-SABE</v>
          </cell>
          <cell r="B19" t="str">
            <v>Sauvignon Blanc</v>
          </cell>
          <cell r="C19" t="str">
            <v>CSU Wagga</v>
          </cell>
          <cell r="D19" t="str">
            <v>Exp</v>
          </cell>
          <cell r="H19">
            <v>0</v>
          </cell>
          <cell r="I19">
            <v>0</v>
          </cell>
          <cell r="J19">
            <v>0</v>
          </cell>
          <cell r="L19">
            <v>0</v>
          </cell>
          <cell r="S19">
            <v>0</v>
          </cell>
          <cell r="T19">
            <v>0</v>
          </cell>
          <cell r="U19">
            <v>0</v>
          </cell>
          <cell r="V19" t="str">
            <v/>
          </cell>
          <cell r="W19" t="str">
            <v/>
          </cell>
        </row>
        <row r="20">
          <cell r="H20">
            <v>0</v>
          </cell>
          <cell r="I20">
            <v>0</v>
          </cell>
          <cell r="J20">
            <v>0</v>
          </cell>
          <cell r="L20">
            <v>0</v>
          </cell>
          <cell r="S20">
            <v>0</v>
          </cell>
          <cell r="T20" t="str">
            <v/>
          </cell>
          <cell r="U20" t="str">
            <v/>
          </cell>
          <cell r="V20" t="str">
            <v/>
          </cell>
          <cell r="W20" t="str">
            <v/>
          </cell>
        </row>
        <row r="21">
          <cell r="A21" t="str">
            <v>BARC-CHA</v>
          </cell>
          <cell r="B21" t="str">
            <v>Chardonnay</v>
          </cell>
          <cell r="C21" t="str">
            <v>Mal Barclay</v>
          </cell>
          <cell r="H21">
            <v>10.199999999999999</v>
          </cell>
          <cell r="I21">
            <v>10.199999999999999</v>
          </cell>
          <cell r="J21">
            <v>0</v>
          </cell>
          <cell r="L21">
            <v>10.199999999999999</v>
          </cell>
          <cell r="O21">
            <v>1900</v>
          </cell>
          <cell r="P21">
            <v>100</v>
          </cell>
          <cell r="Q21">
            <v>250</v>
          </cell>
          <cell r="S21">
            <v>19380</v>
          </cell>
          <cell r="T21" t="str">
            <v/>
          </cell>
          <cell r="U21" t="str">
            <v/>
          </cell>
          <cell r="V21" t="str">
            <v/>
          </cell>
          <cell r="W21" t="str">
            <v/>
          </cell>
        </row>
        <row r="22">
          <cell r="A22" t="str">
            <v>BARC-FZCH</v>
          </cell>
          <cell r="B22" t="str">
            <v>Fizz Chardonnay</v>
          </cell>
          <cell r="C22" t="str">
            <v>Mal Barclay</v>
          </cell>
          <cell r="H22">
            <v>4.2</v>
          </cell>
          <cell r="I22">
            <v>4.2</v>
          </cell>
          <cell r="J22">
            <v>0</v>
          </cell>
          <cell r="L22">
            <v>4.2</v>
          </cell>
          <cell r="O22">
            <v>1750</v>
          </cell>
          <cell r="P22">
            <v>100</v>
          </cell>
          <cell r="Q22">
            <v>250</v>
          </cell>
          <cell r="S22">
            <v>7350</v>
          </cell>
          <cell r="T22" t="str">
            <v/>
          </cell>
          <cell r="U22" t="str">
            <v/>
          </cell>
          <cell r="V22" t="str">
            <v/>
          </cell>
          <cell r="W22" t="str">
            <v/>
          </cell>
        </row>
        <row r="23">
          <cell r="A23" t="str">
            <v>BARC-FZPN</v>
          </cell>
          <cell r="B23" t="str">
            <v>Fizz Pinot Noir</v>
          </cell>
          <cell r="C23" t="str">
            <v>Mal Barclay</v>
          </cell>
          <cell r="H23">
            <v>6.6</v>
          </cell>
          <cell r="I23">
            <v>6.6</v>
          </cell>
          <cell r="J23">
            <v>0</v>
          </cell>
          <cell r="L23">
            <v>6.6</v>
          </cell>
          <cell r="O23">
            <v>1750</v>
          </cell>
          <cell r="P23">
            <v>100</v>
          </cell>
          <cell r="Q23">
            <v>250</v>
          </cell>
          <cell r="S23">
            <v>11550</v>
          </cell>
          <cell r="T23" t="str">
            <v/>
          </cell>
          <cell r="U23" t="str">
            <v/>
          </cell>
          <cell r="V23" t="str">
            <v/>
          </cell>
          <cell r="W23" t="str">
            <v/>
          </cell>
        </row>
        <row r="24">
          <cell r="H24">
            <v>0</v>
          </cell>
          <cell r="I24">
            <v>0</v>
          </cell>
          <cell r="J24">
            <v>0</v>
          </cell>
          <cell r="L24">
            <v>0</v>
          </cell>
          <cell r="S24">
            <v>0</v>
          </cell>
          <cell r="T24" t="str">
            <v/>
          </cell>
          <cell r="U24" t="str">
            <v/>
          </cell>
          <cell r="V24" t="str">
            <v/>
          </cell>
          <cell r="W24" t="str">
            <v/>
          </cell>
        </row>
        <row r="25">
          <cell r="A25" t="str">
            <v>MOKH-CASF</v>
          </cell>
          <cell r="B25" t="str">
            <v>Cabernet Sauvignon</v>
          </cell>
          <cell r="C25" t="str">
            <v>Mokhinui</v>
          </cell>
          <cell r="H25">
            <v>0</v>
          </cell>
          <cell r="I25">
            <v>0</v>
          </cell>
          <cell r="J25">
            <v>0</v>
          </cell>
          <cell r="L25">
            <v>0</v>
          </cell>
          <cell r="O25">
            <v>2000</v>
          </cell>
          <cell r="P25">
            <v>93.76</v>
          </cell>
          <cell r="S25">
            <v>0</v>
          </cell>
          <cell r="T25" t="str">
            <v/>
          </cell>
          <cell r="U25" t="str">
            <v/>
          </cell>
          <cell r="V25" t="str">
            <v/>
          </cell>
          <cell r="W25" t="str">
            <v/>
          </cell>
        </row>
        <row r="26">
          <cell r="H26">
            <v>0</v>
          </cell>
          <cell r="I26">
            <v>0</v>
          </cell>
          <cell r="J26">
            <v>0</v>
          </cell>
          <cell r="L26">
            <v>0</v>
          </cell>
          <cell r="S26">
            <v>0</v>
          </cell>
          <cell r="T26" t="str">
            <v/>
          </cell>
          <cell r="U26" t="str">
            <v/>
          </cell>
          <cell r="V26" t="str">
            <v/>
          </cell>
          <cell r="W26" t="str">
            <v/>
          </cell>
        </row>
        <row r="27">
          <cell r="A27" t="str">
            <v>LOFT-CHA1</v>
          </cell>
          <cell r="B27" t="str">
            <v>Chardonnay</v>
          </cell>
          <cell r="C27" t="str">
            <v>Lofty Vineyard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O27">
            <v>1750</v>
          </cell>
          <cell r="P27">
            <v>100</v>
          </cell>
          <cell r="S27">
            <v>0</v>
          </cell>
          <cell r="T27" t="str">
            <v/>
          </cell>
          <cell r="U27" t="str">
            <v/>
          </cell>
          <cell r="V27" t="str">
            <v/>
          </cell>
          <cell r="W27" t="str">
            <v/>
          </cell>
        </row>
        <row r="28">
          <cell r="A28" t="str">
            <v>LOFT-MLT1</v>
          </cell>
          <cell r="B28" t="str">
            <v>Merlot</v>
          </cell>
          <cell r="C28" t="str">
            <v>Lofty Vineyard</v>
          </cell>
          <cell r="H28">
            <v>0</v>
          </cell>
          <cell r="I28">
            <v>0</v>
          </cell>
          <cell r="J28">
            <v>0</v>
          </cell>
          <cell r="L28">
            <v>0</v>
          </cell>
          <cell r="O28">
            <v>1600</v>
          </cell>
          <cell r="P28">
            <v>100</v>
          </cell>
          <cell r="S28">
            <v>0</v>
          </cell>
          <cell r="T28" t="str">
            <v/>
          </cell>
          <cell r="U28" t="str">
            <v/>
          </cell>
          <cell r="V28" t="str">
            <v/>
          </cell>
          <cell r="W28" t="str">
            <v/>
          </cell>
        </row>
        <row r="29">
          <cell r="H29">
            <v>0</v>
          </cell>
          <cell r="I29">
            <v>0</v>
          </cell>
          <cell r="J29">
            <v>0</v>
          </cell>
          <cell r="L29">
            <v>0</v>
          </cell>
          <cell r="S29">
            <v>0</v>
          </cell>
          <cell r="T29" t="str">
            <v/>
          </cell>
          <cell r="U29" t="str">
            <v/>
          </cell>
          <cell r="V29" t="str">
            <v/>
          </cell>
          <cell r="W29" t="str">
            <v/>
          </cell>
        </row>
        <row r="30">
          <cell r="A30" t="str">
            <v>WGWG-TOU1</v>
          </cell>
          <cell r="B30" t="str">
            <v>Touriga</v>
          </cell>
          <cell r="C30" t="str">
            <v>WW Wines</v>
          </cell>
          <cell r="H30">
            <v>0</v>
          </cell>
          <cell r="I30">
            <v>0</v>
          </cell>
          <cell r="J30">
            <v>0</v>
          </cell>
          <cell r="L30">
            <v>0</v>
          </cell>
          <cell r="O30">
            <v>1500</v>
          </cell>
          <cell r="S30">
            <v>0</v>
          </cell>
          <cell r="T30" t="str">
            <v/>
          </cell>
          <cell r="U30" t="str">
            <v/>
          </cell>
          <cell r="V30" t="str">
            <v/>
          </cell>
          <cell r="W30" t="str">
            <v/>
          </cell>
        </row>
        <row r="31">
          <cell r="H31">
            <v>0</v>
          </cell>
          <cell r="I31">
            <v>0</v>
          </cell>
          <cell r="J31">
            <v>0</v>
          </cell>
          <cell r="L31">
            <v>0</v>
          </cell>
          <cell r="S31">
            <v>0</v>
          </cell>
          <cell r="T31" t="str">
            <v/>
          </cell>
          <cell r="U31" t="str">
            <v/>
          </cell>
          <cell r="V31" t="str">
            <v/>
          </cell>
          <cell r="W31" t="str">
            <v/>
          </cell>
        </row>
        <row r="32">
          <cell r="A32" t="str">
            <v>LYON-TEM1</v>
          </cell>
          <cell r="B32" t="str">
            <v>Tempranillo</v>
          </cell>
          <cell r="C32" t="str">
            <v>David Lyons</v>
          </cell>
          <cell r="H32">
            <v>0</v>
          </cell>
          <cell r="I32">
            <v>0</v>
          </cell>
          <cell r="J32">
            <v>0</v>
          </cell>
          <cell r="L32">
            <v>0</v>
          </cell>
          <cell r="O32">
            <v>1500</v>
          </cell>
          <cell r="P32">
            <v>100</v>
          </cell>
          <cell r="Q32">
            <v>138.95015438906043</v>
          </cell>
          <cell r="S32">
            <v>0</v>
          </cell>
          <cell r="T32" t="str">
            <v/>
          </cell>
          <cell r="U32" t="str">
            <v/>
          </cell>
          <cell r="V32" t="str">
            <v/>
          </cell>
          <cell r="W32" t="str">
            <v/>
          </cell>
        </row>
        <row r="33">
          <cell r="H33">
            <v>0</v>
          </cell>
          <cell r="I33">
            <v>0</v>
          </cell>
          <cell r="J33">
            <v>0</v>
          </cell>
          <cell r="L33">
            <v>0</v>
          </cell>
          <cell r="S33">
            <v>0</v>
          </cell>
          <cell r="T33" t="str">
            <v/>
          </cell>
          <cell r="U33" t="str">
            <v/>
          </cell>
          <cell r="V33" t="str">
            <v/>
          </cell>
          <cell r="W33" t="str">
            <v/>
          </cell>
        </row>
        <row r="34">
          <cell r="A34" t="str">
            <v>OROT-CHA1</v>
          </cell>
          <cell r="B34" t="str">
            <v>Chardonnay</v>
          </cell>
          <cell r="C34" t="str">
            <v>Other Orange</v>
          </cell>
          <cell r="H34">
            <v>0</v>
          </cell>
          <cell r="I34">
            <v>0</v>
          </cell>
          <cell r="J34">
            <v>0</v>
          </cell>
          <cell r="L34">
            <v>0</v>
          </cell>
          <cell r="O34">
            <v>1500</v>
          </cell>
          <cell r="P34">
            <v>100</v>
          </cell>
          <cell r="S34">
            <v>0</v>
          </cell>
          <cell r="T34" t="str">
            <v/>
          </cell>
          <cell r="U34" t="str">
            <v/>
          </cell>
          <cell r="V34" t="str">
            <v/>
          </cell>
          <cell r="W34" t="str">
            <v/>
          </cell>
        </row>
        <row r="35">
          <cell r="A35" t="str">
            <v>GUOT-SHZ1</v>
          </cell>
          <cell r="B35" t="str">
            <v>Shiraz</v>
          </cell>
          <cell r="C35" t="str">
            <v>Other Gundagai</v>
          </cell>
          <cell r="H35">
            <v>14.4</v>
          </cell>
          <cell r="I35">
            <v>0</v>
          </cell>
          <cell r="J35">
            <v>14.4</v>
          </cell>
          <cell r="L35">
            <v>14.4</v>
          </cell>
          <cell r="O35">
            <v>700</v>
          </cell>
          <cell r="P35">
            <v>100</v>
          </cell>
          <cell r="S35">
            <v>10080</v>
          </cell>
          <cell r="T35" t="str">
            <v/>
          </cell>
          <cell r="U35" t="str">
            <v/>
          </cell>
          <cell r="V35" t="str">
            <v/>
          </cell>
          <cell r="W35" t="str">
            <v/>
          </cell>
        </row>
        <row r="36">
          <cell r="A36" t="str">
            <v>GUOT-CAS1</v>
          </cell>
          <cell r="B36" t="str">
            <v>Cabernet Sauvignon</v>
          </cell>
          <cell r="C36" t="str">
            <v>Other Gundagai</v>
          </cell>
          <cell r="H36">
            <v>0</v>
          </cell>
          <cell r="I36">
            <v>0</v>
          </cell>
          <cell r="J36">
            <v>0</v>
          </cell>
          <cell r="L36">
            <v>0</v>
          </cell>
          <cell r="O36">
            <v>700</v>
          </cell>
          <cell r="P36">
            <v>100</v>
          </cell>
          <cell r="S36">
            <v>0</v>
          </cell>
          <cell r="T36" t="str">
            <v/>
          </cell>
          <cell r="U36" t="str">
            <v/>
          </cell>
          <cell r="V36" t="str">
            <v/>
          </cell>
          <cell r="W36" t="str">
            <v/>
          </cell>
        </row>
        <row r="37">
          <cell r="A37" t="str">
            <v>GUOT-MLT1</v>
          </cell>
          <cell r="B37" t="str">
            <v>Merlot</v>
          </cell>
          <cell r="C37" t="str">
            <v>Other Gundagai</v>
          </cell>
          <cell r="H37">
            <v>0</v>
          </cell>
          <cell r="I37">
            <v>0</v>
          </cell>
          <cell r="J37">
            <v>0</v>
          </cell>
          <cell r="L37">
            <v>0</v>
          </cell>
          <cell r="O37">
            <v>700</v>
          </cell>
          <cell r="P37">
            <v>100</v>
          </cell>
          <cell r="S37">
            <v>0</v>
          </cell>
          <cell r="T37" t="str">
            <v/>
          </cell>
          <cell r="U37" t="str">
            <v/>
          </cell>
          <cell r="V37" t="str">
            <v/>
          </cell>
          <cell r="W37" t="str">
            <v/>
          </cell>
        </row>
        <row r="38">
          <cell r="A38" t="str">
            <v>OROT-SHZ1</v>
          </cell>
          <cell r="B38" t="str">
            <v>Shiraz</v>
          </cell>
          <cell r="C38" t="str">
            <v>Other Orange</v>
          </cell>
          <cell r="H38">
            <v>0</v>
          </cell>
          <cell r="I38">
            <v>0</v>
          </cell>
          <cell r="J38">
            <v>0</v>
          </cell>
          <cell r="L38">
            <v>0</v>
          </cell>
          <cell r="O38">
            <v>1000</v>
          </cell>
          <cell r="P38">
            <v>100</v>
          </cell>
          <cell r="S38">
            <v>0</v>
          </cell>
          <cell r="T38" t="str">
            <v/>
          </cell>
          <cell r="U38" t="str">
            <v/>
          </cell>
          <cell r="V38" t="str">
            <v/>
          </cell>
          <cell r="W38" t="str">
            <v/>
          </cell>
        </row>
        <row r="39">
          <cell r="A39" t="str">
            <v>HIOT-CAS1</v>
          </cell>
          <cell r="B39" t="str">
            <v>Cabernet Sauvignon</v>
          </cell>
          <cell r="C39" t="str">
            <v>Other Hilltops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O39">
            <v>1000</v>
          </cell>
          <cell r="P39">
            <v>100</v>
          </cell>
          <cell r="S39">
            <v>0</v>
          </cell>
          <cell r="T39" t="str">
            <v/>
          </cell>
          <cell r="U39" t="str">
            <v/>
          </cell>
          <cell r="V39" t="str">
            <v/>
          </cell>
          <cell r="W39" t="str">
            <v/>
          </cell>
        </row>
        <row r="40">
          <cell r="A40" t="str">
            <v>OROT-CAS1</v>
          </cell>
          <cell r="B40" t="str">
            <v>Cabernet Sauvignon</v>
          </cell>
          <cell r="C40" t="str">
            <v>Other Orange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O40">
            <v>1500</v>
          </cell>
          <cell r="P40">
            <v>100</v>
          </cell>
          <cell r="S40">
            <v>0</v>
          </cell>
          <cell r="T40" t="str">
            <v/>
          </cell>
          <cell r="U40" t="str">
            <v/>
          </cell>
          <cell r="V40" t="str">
            <v/>
          </cell>
          <cell r="W40" t="str">
            <v/>
          </cell>
        </row>
        <row r="41">
          <cell r="A41" t="str">
            <v>OROT-MLT1</v>
          </cell>
          <cell r="B41" t="str">
            <v>Merlot</v>
          </cell>
          <cell r="C41" t="str">
            <v>Other Orange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O41">
            <v>1500</v>
          </cell>
          <cell r="P41">
            <v>100</v>
          </cell>
          <cell r="S41">
            <v>0</v>
          </cell>
          <cell r="T41" t="str">
            <v/>
          </cell>
          <cell r="U41" t="str">
            <v/>
          </cell>
          <cell r="V41" t="str">
            <v/>
          </cell>
          <cell r="W41" t="str">
            <v/>
          </cell>
        </row>
        <row r="42">
          <cell r="A42" t="str">
            <v>OROT-TEM1</v>
          </cell>
          <cell r="B42" t="str">
            <v>Tempranillo</v>
          </cell>
          <cell r="C42" t="str">
            <v>Other Orange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O42">
            <v>1500</v>
          </cell>
          <cell r="P42">
            <v>100</v>
          </cell>
          <cell r="S42">
            <v>0</v>
          </cell>
          <cell r="T42" t="str">
            <v/>
          </cell>
          <cell r="U42" t="str">
            <v/>
          </cell>
          <cell r="V42" t="str">
            <v/>
          </cell>
          <cell r="W42" t="str">
            <v/>
          </cell>
        </row>
        <row r="43">
          <cell r="H43">
            <v>0</v>
          </cell>
          <cell r="I43">
            <v>0</v>
          </cell>
          <cell r="J43">
            <v>0</v>
          </cell>
          <cell r="L43">
            <v>0</v>
          </cell>
          <cell r="S43">
            <v>0</v>
          </cell>
          <cell r="T43" t="str">
            <v/>
          </cell>
          <cell r="U43" t="str">
            <v/>
          </cell>
          <cell r="V43" t="str">
            <v/>
          </cell>
          <cell r="W43" t="str">
            <v/>
          </cell>
        </row>
        <row r="44">
          <cell r="H44">
            <v>0</v>
          </cell>
          <cell r="I44">
            <v>0</v>
          </cell>
          <cell r="J44">
            <v>0</v>
          </cell>
          <cell r="L44">
            <v>0</v>
          </cell>
          <cell r="S44">
            <v>0</v>
          </cell>
          <cell r="T44" t="str">
            <v/>
          </cell>
          <cell r="U44" t="str">
            <v/>
          </cell>
          <cell r="V44" t="str">
            <v/>
          </cell>
          <cell r="W44" t="str">
            <v/>
          </cell>
        </row>
        <row r="45">
          <cell r="H45">
            <v>0</v>
          </cell>
          <cell r="I45">
            <v>0</v>
          </cell>
          <cell r="J45">
            <v>0</v>
          </cell>
          <cell r="L45">
            <v>0</v>
          </cell>
          <cell r="S45">
            <v>0</v>
          </cell>
          <cell r="T45" t="str">
            <v/>
          </cell>
          <cell r="U45" t="str">
            <v/>
          </cell>
          <cell r="V45" t="str">
            <v/>
          </cell>
          <cell r="W45" t="str">
            <v/>
          </cell>
        </row>
        <row r="46">
          <cell r="H46">
            <v>0</v>
          </cell>
          <cell r="I46">
            <v>0</v>
          </cell>
          <cell r="J46">
            <v>0</v>
          </cell>
          <cell r="L46">
            <v>0</v>
          </cell>
          <cell r="S46">
            <v>0</v>
          </cell>
          <cell r="T46" t="str">
            <v/>
          </cell>
          <cell r="U46" t="str">
            <v/>
          </cell>
          <cell r="V46" t="str">
            <v/>
          </cell>
          <cell r="W46" t="str">
            <v/>
          </cell>
        </row>
        <row r="47">
          <cell r="H47">
            <v>0</v>
          </cell>
          <cell r="I47">
            <v>0</v>
          </cell>
          <cell r="J47">
            <v>0</v>
          </cell>
          <cell r="L47">
            <v>0</v>
          </cell>
          <cell r="S47">
            <v>0</v>
          </cell>
          <cell r="T47" t="str">
            <v/>
          </cell>
          <cell r="U47" t="str">
            <v/>
          </cell>
          <cell r="V47" t="str">
            <v/>
          </cell>
          <cell r="W47" t="str">
            <v/>
          </cell>
        </row>
        <row r="48">
          <cell r="H48">
            <v>0</v>
          </cell>
          <cell r="I48">
            <v>0</v>
          </cell>
          <cell r="J48">
            <v>0</v>
          </cell>
          <cell r="L48">
            <v>0</v>
          </cell>
          <cell r="S48">
            <v>0</v>
          </cell>
          <cell r="T48" t="str">
            <v/>
          </cell>
          <cell r="U48" t="str">
            <v/>
          </cell>
          <cell r="V48" t="str">
            <v/>
          </cell>
          <cell r="W48" t="str">
            <v/>
          </cell>
        </row>
        <row r="49">
          <cell r="H49">
            <v>0</v>
          </cell>
          <cell r="I49">
            <v>0</v>
          </cell>
          <cell r="J49">
            <v>0</v>
          </cell>
          <cell r="L49">
            <v>0</v>
          </cell>
          <cell r="S49">
            <v>0</v>
          </cell>
          <cell r="T49" t="str">
            <v/>
          </cell>
          <cell r="U49" t="str">
            <v/>
          </cell>
          <cell r="V49" t="str">
            <v/>
          </cell>
          <cell r="W49" t="str">
            <v/>
          </cell>
        </row>
        <row r="50">
          <cell r="L50">
            <v>86.800000000000011</v>
          </cell>
        </row>
        <row r="52">
          <cell r="H52">
            <v>120985</v>
          </cell>
        </row>
        <row r="53">
          <cell r="H53">
            <v>8100</v>
          </cell>
        </row>
        <row r="54">
          <cell r="H54">
            <v>5250</v>
          </cell>
        </row>
      </sheetData>
      <sheetData sheetId="10">
        <row r="8">
          <cell r="A8" t="str">
            <v>Date</v>
          </cell>
          <cell r="B8" t="str">
            <v>Block</v>
          </cell>
          <cell r="C8" t="str">
            <v>Weigh Bridge Docket</v>
          </cell>
          <cell r="D8" t="str">
            <v>WineCode</v>
          </cell>
          <cell r="E8" t="str">
            <v>Grower Name</v>
          </cell>
          <cell r="F8" t="str">
            <v>Variety</v>
          </cell>
          <cell r="G8" t="str">
            <v>Tonnage</v>
          </cell>
          <cell r="H8" t="str">
            <v>Colour</v>
          </cell>
          <cell r="I8" t="str">
            <v>Sub-region</v>
          </cell>
          <cell r="J8" t="str">
            <v>Region</v>
          </cell>
          <cell r="K8" t="str">
            <v>Price</v>
          </cell>
          <cell r="L8" t="str">
            <v>Sugar Level</v>
          </cell>
          <cell r="M8" t="str">
            <v>Pressed Volume</v>
          </cell>
          <cell r="N8" t="str">
            <v>Racked Volume</v>
          </cell>
          <cell r="O8" t="str">
            <v>Total price</v>
          </cell>
        </row>
        <row r="9">
          <cell r="E9" t="str">
            <v/>
          </cell>
          <cell r="F9" t="str">
            <v/>
          </cell>
          <cell r="I9" t="str">
            <v/>
          </cell>
          <cell r="J9" t="str">
            <v/>
          </cell>
          <cell r="K9">
            <v>0</v>
          </cell>
          <cell r="O9">
            <v>0</v>
          </cell>
        </row>
        <row r="10">
          <cell r="E10" t="str">
            <v/>
          </cell>
          <cell r="F10" t="str">
            <v/>
          </cell>
          <cell r="I10" t="str">
            <v/>
          </cell>
          <cell r="J10" t="str">
            <v/>
          </cell>
          <cell r="K10">
            <v>0</v>
          </cell>
          <cell r="O10">
            <v>0</v>
          </cell>
        </row>
        <row r="11">
          <cell r="E11" t="str">
            <v/>
          </cell>
          <cell r="F11" t="str">
            <v/>
          </cell>
          <cell r="I11" t="str">
            <v/>
          </cell>
          <cell r="J11" t="str">
            <v/>
          </cell>
          <cell r="K11">
            <v>0</v>
          </cell>
          <cell r="O11">
            <v>0</v>
          </cell>
        </row>
        <row r="12">
          <cell r="E12" t="str">
            <v/>
          </cell>
          <cell r="F12" t="str">
            <v/>
          </cell>
          <cell r="I12" t="str">
            <v/>
          </cell>
          <cell r="J12" t="str">
            <v/>
          </cell>
          <cell r="K12">
            <v>0</v>
          </cell>
          <cell r="O12">
            <v>0</v>
          </cell>
        </row>
        <row r="13">
          <cell r="E13" t="str">
            <v/>
          </cell>
          <cell r="F13" t="str">
            <v/>
          </cell>
          <cell r="I13" t="str">
            <v/>
          </cell>
          <cell r="J13" t="str">
            <v/>
          </cell>
          <cell r="K13">
            <v>0</v>
          </cell>
          <cell r="O13">
            <v>0</v>
          </cell>
        </row>
        <row r="14">
          <cell r="E14" t="str">
            <v/>
          </cell>
          <cell r="F14" t="str">
            <v/>
          </cell>
          <cell r="I14" t="str">
            <v/>
          </cell>
          <cell r="J14" t="str">
            <v/>
          </cell>
          <cell r="K14">
            <v>0</v>
          </cell>
          <cell r="O14">
            <v>0</v>
          </cell>
        </row>
        <row r="15">
          <cell r="E15" t="str">
            <v/>
          </cell>
          <cell r="F15" t="str">
            <v/>
          </cell>
          <cell r="I15" t="str">
            <v/>
          </cell>
          <cell r="J15" t="str">
            <v/>
          </cell>
          <cell r="K15">
            <v>0</v>
          </cell>
          <cell r="O15">
            <v>0</v>
          </cell>
        </row>
        <row r="16">
          <cell r="E16" t="str">
            <v/>
          </cell>
          <cell r="F16" t="str">
            <v/>
          </cell>
          <cell r="I16" t="str">
            <v/>
          </cell>
          <cell r="J16" t="str">
            <v/>
          </cell>
          <cell r="K16">
            <v>0</v>
          </cell>
          <cell r="O16">
            <v>0</v>
          </cell>
        </row>
        <row r="17">
          <cell r="E17" t="str">
            <v/>
          </cell>
          <cell r="F17" t="str">
            <v/>
          </cell>
          <cell r="I17" t="str">
            <v/>
          </cell>
          <cell r="J17" t="str">
            <v/>
          </cell>
          <cell r="K17">
            <v>0</v>
          </cell>
          <cell r="O17">
            <v>0</v>
          </cell>
        </row>
        <row r="18">
          <cell r="E18" t="str">
            <v/>
          </cell>
          <cell r="F18" t="str">
            <v/>
          </cell>
          <cell r="I18" t="str">
            <v/>
          </cell>
          <cell r="J18" t="str">
            <v/>
          </cell>
          <cell r="K18">
            <v>0</v>
          </cell>
          <cell r="O18">
            <v>0</v>
          </cell>
        </row>
        <row r="19">
          <cell r="E19" t="str">
            <v/>
          </cell>
          <cell r="F19" t="str">
            <v/>
          </cell>
          <cell r="I19" t="str">
            <v/>
          </cell>
          <cell r="J19" t="str">
            <v/>
          </cell>
          <cell r="K19">
            <v>0</v>
          </cell>
          <cell r="O19">
            <v>0</v>
          </cell>
        </row>
        <row r="20">
          <cell r="E20" t="str">
            <v/>
          </cell>
          <cell r="F20" t="str">
            <v/>
          </cell>
          <cell r="I20" t="str">
            <v/>
          </cell>
          <cell r="J20" t="str">
            <v/>
          </cell>
          <cell r="K20">
            <v>0</v>
          </cell>
          <cell r="O20">
            <v>0</v>
          </cell>
        </row>
        <row r="21">
          <cell r="E21" t="str">
            <v/>
          </cell>
          <cell r="F21" t="str">
            <v/>
          </cell>
          <cell r="I21" t="str">
            <v/>
          </cell>
          <cell r="J21" t="str">
            <v/>
          </cell>
          <cell r="K21">
            <v>0</v>
          </cell>
          <cell r="O21">
            <v>0</v>
          </cell>
        </row>
        <row r="22">
          <cell r="E22" t="str">
            <v/>
          </cell>
          <cell r="F22" t="str">
            <v/>
          </cell>
          <cell r="I22" t="str">
            <v/>
          </cell>
          <cell r="J22" t="str">
            <v/>
          </cell>
          <cell r="K22">
            <v>0</v>
          </cell>
          <cell r="O22">
            <v>0</v>
          </cell>
        </row>
        <row r="23">
          <cell r="E23" t="str">
            <v/>
          </cell>
          <cell r="F23" t="str">
            <v/>
          </cell>
          <cell r="I23" t="str">
            <v/>
          </cell>
          <cell r="J23" t="str">
            <v/>
          </cell>
          <cell r="K23">
            <v>0</v>
          </cell>
          <cell r="O23">
            <v>0</v>
          </cell>
        </row>
        <row r="24">
          <cell r="E24" t="str">
            <v/>
          </cell>
          <cell r="F24" t="str">
            <v/>
          </cell>
          <cell r="I24" t="str">
            <v/>
          </cell>
          <cell r="J24" t="str">
            <v/>
          </cell>
          <cell r="K24">
            <v>0</v>
          </cell>
          <cell r="O24">
            <v>0</v>
          </cell>
        </row>
        <row r="25">
          <cell r="E25" t="str">
            <v/>
          </cell>
          <cell r="F25" t="str">
            <v/>
          </cell>
          <cell r="I25" t="str">
            <v/>
          </cell>
          <cell r="J25" t="str">
            <v/>
          </cell>
          <cell r="K25">
            <v>0</v>
          </cell>
          <cell r="O25">
            <v>0</v>
          </cell>
        </row>
        <row r="26">
          <cell r="E26" t="str">
            <v/>
          </cell>
          <cell r="F26" t="str">
            <v/>
          </cell>
          <cell r="I26" t="str">
            <v/>
          </cell>
          <cell r="J26" t="str">
            <v/>
          </cell>
          <cell r="K26">
            <v>0</v>
          </cell>
          <cell r="O26">
            <v>0</v>
          </cell>
        </row>
        <row r="27">
          <cell r="E27" t="str">
            <v/>
          </cell>
          <cell r="F27" t="str">
            <v/>
          </cell>
          <cell r="I27" t="str">
            <v/>
          </cell>
          <cell r="J27" t="str">
            <v/>
          </cell>
          <cell r="K27">
            <v>0</v>
          </cell>
          <cell r="O27">
            <v>0</v>
          </cell>
        </row>
        <row r="28">
          <cell r="E28" t="str">
            <v/>
          </cell>
          <cell r="F28" t="str">
            <v/>
          </cell>
          <cell r="I28" t="str">
            <v/>
          </cell>
          <cell r="J28" t="str">
            <v/>
          </cell>
          <cell r="K28">
            <v>0</v>
          </cell>
          <cell r="O28">
            <v>0</v>
          </cell>
        </row>
        <row r="29">
          <cell r="E29" t="str">
            <v/>
          </cell>
          <cell r="F29" t="str">
            <v/>
          </cell>
          <cell r="I29" t="str">
            <v/>
          </cell>
          <cell r="J29" t="str">
            <v/>
          </cell>
          <cell r="K29">
            <v>0</v>
          </cell>
          <cell r="O29">
            <v>0</v>
          </cell>
        </row>
        <row r="30">
          <cell r="E30" t="str">
            <v/>
          </cell>
          <cell r="F30" t="str">
            <v/>
          </cell>
          <cell r="I30" t="str">
            <v/>
          </cell>
          <cell r="J30" t="str">
            <v/>
          </cell>
          <cell r="K30">
            <v>0</v>
          </cell>
          <cell r="O30">
            <v>0</v>
          </cell>
        </row>
        <row r="31">
          <cell r="E31" t="str">
            <v/>
          </cell>
          <cell r="F31" t="str">
            <v/>
          </cell>
          <cell r="I31" t="str">
            <v/>
          </cell>
          <cell r="J31" t="str">
            <v/>
          </cell>
          <cell r="K31">
            <v>0</v>
          </cell>
          <cell r="O31">
            <v>0</v>
          </cell>
        </row>
        <row r="32">
          <cell r="E32" t="str">
            <v/>
          </cell>
          <cell r="F32" t="str">
            <v/>
          </cell>
          <cell r="I32" t="str">
            <v/>
          </cell>
          <cell r="J32" t="str">
            <v/>
          </cell>
          <cell r="K32">
            <v>0</v>
          </cell>
          <cell r="O32">
            <v>0</v>
          </cell>
        </row>
        <row r="33">
          <cell r="E33" t="str">
            <v/>
          </cell>
          <cell r="F33" t="str">
            <v/>
          </cell>
          <cell r="I33" t="str">
            <v/>
          </cell>
          <cell r="J33" t="str">
            <v/>
          </cell>
          <cell r="K33">
            <v>0</v>
          </cell>
          <cell r="O33">
            <v>0</v>
          </cell>
        </row>
        <row r="34">
          <cell r="E34" t="str">
            <v/>
          </cell>
          <cell r="F34" t="str">
            <v/>
          </cell>
          <cell r="I34" t="str">
            <v/>
          </cell>
          <cell r="J34" t="str">
            <v/>
          </cell>
          <cell r="K34">
            <v>0</v>
          </cell>
          <cell r="O34">
            <v>0</v>
          </cell>
        </row>
        <row r="35">
          <cell r="E35" t="str">
            <v/>
          </cell>
          <cell r="F35" t="str">
            <v/>
          </cell>
          <cell r="I35" t="str">
            <v/>
          </cell>
          <cell r="J35" t="str">
            <v/>
          </cell>
          <cell r="K35">
            <v>0</v>
          </cell>
          <cell r="O35">
            <v>0</v>
          </cell>
        </row>
        <row r="36">
          <cell r="E36" t="str">
            <v/>
          </cell>
          <cell r="F36" t="str">
            <v/>
          </cell>
          <cell r="I36" t="str">
            <v/>
          </cell>
          <cell r="J36" t="str">
            <v/>
          </cell>
          <cell r="K36">
            <v>0</v>
          </cell>
          <cell r="O36">
            <v>0</v>
          </cell>
        </row>
        <row r="37">
          <cell r="E37" t="str">
            <v/>
          </cell>
          <cell r="F37" t="str">
            <v/>
          </cell>
          <cell r="I37" t="str">
            <v/>
          </cell>
          <cell r="J37" t="str">
            <v/>
          </cell>
          <cell r="K37">
            <v>0</v>
          </cell>
          <cell r="O37">
            <v>0</v>
          </cell>
        </row>
        <row r="38">
          <cell r="E38" t="str">
            <v/>
          </cell>
          <cell r="F38" t="str">
            <v/>
          </cell>
          <cell r="I38" t="str">
            <v/>
          </cell>
          <cell r="J38" t="str">
            <v/>
          </cell>
          <cell r="K38">
            <v>0</v>
          </cell>
          <cell r="O38">
            <v>0</v>
          </cell>
        </row>
        <row r="39">
          <cell r="E39" t="str">
            <v/>
          </cell>
          <cell r="F39" t="str">
            <v/>
          </cell>
          <cell r="I39" t="str">
            <v/>
          </cell>
          <cell r="J39" t="str">
            <v/>
          </cell>
          <cell r="K39">
            <v>0</v>
          </cell>
          <cell r="O39">
            <v>0</v>
          </cell>
        </row>
        <row r="40">
          <cell r="E40" t="str">
            <v/>
          </cell>
          <cell r="F40" t="str">
            <v/>
          </cell>
          <cell r="I40" t="str">
            <v/>
          </cell>
          <cell r="J40" t="str">
            <v/>
          </cell>
          <cell r="K40">
            <v>0</v>
          </cell>
          <cell r="O40">
            <v>0</v>
          </cell>
        </row>
        <row r="41">
          <cell r="E41" t="str">
            <v/>
          </cell>
          <cell r="F41" t="str">
            <v/>
          </cell>
          <cell r="I41" t="str">
            <v/>
          </cell>
          <cell r="J41" t="str">
            <v/>
          </cell>
          <cell r="K41">
            <v>0</v>
          </cell>
          <cell r="O41">
            <v>0</v>
          </cell>
        </row>
        <row r="42">
          <cell r="E42" t="str">
            <v/>
          </cell>
          <cell r="F42" t="str">
            <v/>
          </cell>
          <cell r="I42" t="str">
            <v/>
          </cell>
          <cell r="J42" t="str">
            <v/>
          </cell>
          <cell r="K42">
            <v>0</v>
          </cell>
          <cell r="O42">
            <v>0</v>
          </cell>
        </row>
        <row r="43">
          <cell r="E43" t="str">
            <v/>
          </cell>
          <cell r="F43" t="str">
            <v/>
          </cell>
          <cell r="I43" t="str">
            <v/>
          </cell>
          <cell r="J43" t="str">
            <v/>
          </cell>
          <cell r="K43">
            <v>0</v>
          </cell>
          <cell r="O43">
            <v>0</v>
          </cell>
        </row>
        <row r="44">
          <cell r="E44" t="str">
            <v/>
          </cell>
          <cell r="F44" t="str">
            <v/>
          </cell>
          <cell r="I44" t="str">
            <v/>
          </cell>
          <cell r="J44" t="str">
            <v/>
          </cell>
          <cell r="K44">
            <v>0</v>
          </cell>
          <cell r="O44">
            <v>0</v>
          </cell>
        </row>
        <row r="45">
          <cell r="E45" t="str">
            <v/>
          </cell>
          <cell r="F45" t="str">
            <v/>
          </cell>
          <cell r="I45" t="str">
            <v/>
          </cell>
          <cell r="J45" t="str">
            <v/>
          </cell>
          <cell r="K45">
            <v>0</v>
          </cell>
          <cell r="O45">
            <v>0</v>
          </cell>
        </row>
        <row r="46">
          <cell r="E46" t="str">
            <v/>
          </cell>
          <cell r="F46" t="str">
            <v/>
          </cell>
          <cell r="I46" t="str">
            <v/>
          </cell>
          <cell r="J46" t="str">
            <v/>
          </cell>
          <cell r="K46">
            <v>0</v>
          </cell>
          <cell r="O46">
            <v>0</v>
          </cell>
        </row>
        <row r="47">
          <cell r="E47" t="str">
            <v/>
          </cell>
          <cell r="F47" t="str">
            <v/>
          </cell>
          <cell r="I47" t="str">
            <v/>
          </cell>
          <cell r="J47" t="str">
            <v/>
          </cell>
          <cell r="K47">
            <v>0</v>
          </cell>
          <cell r="O47">
            <v>0</v>
          </cell>
        </row>
        <row r="48">
          <cell r="E48" t="str">
            <v/>
          </cell>
          <cell r="F48" t="str">
            <v/>
          </cell>
          <cell r="I48" t="str">
            <v/>
          </cell>
          <cell r="J48" t="str">
            <v/>
          </cell>
          <cell r="K48">
            <v>0</v>
          </cell>
          <cell r="O48">
            <v>0</v>
          </cell>
        </row>
        <row r="49">
          <cell r="E49" t="str">
            <v/>
          </cell>
          <cell r="F49" t="str">
            <v/>
          </cell>
          <cell r="I49" t="str">
            <v/>
          </cell>
          <cell r="J49" t="str">
            <v/>
          </cell>
          <cell r="K49">
            <v>0</v>
          </cell>
          <cell r="O49">
            <v>0</v>
          </cell>
        </row>
        <row r="50">
          <cell r="E50" t="str">
            <v/>
          </cell>
          <cell r="F50" t="str">
            <v/>
          </cell>
          <cell r="I50" t="str">
            <v/>
          </cell>
          <cell r="J50" t="str">
            <v/>
          </cell>
          <cell r="K50">
            <v>0</v>
          </cell>
          <cell r="O50">
            <v>0</v>
          </cell>
        </row>
        <row r="51">
          <cell r="E51" t="str">
            <v/>
          </cell>
          <cell r="F51" t="str">
            <v/>
          </cell>
          <cell r="I51" t="str">
            <v/>
          </cell>
          <cell r="J51" t="str">
            <v/>
          </cell>
          <cell r="K51">
            <v>0</v>
          </cell>
          <cell r="O51">
            <v>0</v>
          </cell>
        </row>
        <row r="52">
          <cell r="E52" t="str">
            <v/>
          </cell>
          <cell r="F52" t="str">
            <v/>
          </cell>
          <cell r="I52" t="str">
            <v/>
          </cell>
          <cell r="J52" t="str">
            <v/>
          </cell>
          <cell r="K52">
            <v>0</v>
          </cell>
          <cell r="O52">
            <v>0</v>
          </cell>
        </row>
        <row r="53">
          <cell r="E53" t="str">
            <v/>
          </cell>
          <cell r="F53" t="str">
            <v/>
          </cell>
          <cell r="I53" t="str">
            <v/>
          </cell>
          <cell r="J53" t="str">
            <v/>
          </cell>
          <cell r="K53">
            <v>0</v>
          </cell>
          <cell r="O53">
            <v>0</v>
          </cell>
        </row>
        <row r="54">
          <cell r="E54" t="str">
            <v/>
          </cell>
          <cell r="F54" t="str">
            <v/>
          </cell>
          <cell r="I54" t="str">
            <v/>
          </cell>
          <cell r="J54" t="str">
            <v/>
          </cell>
          <cell r="K54">
            <v>0</v>
          </cell>
          <cell r="O54">
            <v>0</v>
          </cell>
        </row>
        <row r="55">
          <cell r="E55" t="str">
            <v/>
          </cell>
          <cell r="F55" t="str">
            <v/>
          </cell>
          <cell r="I55" t="str">
            <v/>
          </cell>
          <cell r="J55" t="str">
            <v/>
          </cell>
          <cell r="K55">
            <v>0</v>
          </cell>
          <cell r="O55">
            <v>0</v>
          </cell>
        </row>
        <row r="56">
          <cell r="E56" t="str">
            <v/>
          </cell>
          <cell r="F56" t="str">
            <v/>
          </cell>
          <cell r="I56" t="str">
            <v/>
          </cell>
          <cell r="J56" t="str">
            <v/>
          </cell>
          <cell r="K56">
            <v>0</v>
          </cell>
          <cell r="O56">
            <v>0</v>
          </cell>
        </row>
        <row r="57">
          <cell r="E57" t="str">
            <v/>
          </cell>
          <cell r="F57" t="str">
            <v/>
          </cell>
          <cell r="I57" t="str">
            <v/>
          </cell>
          <cell r="J57" t="str">
            <v/>
          </cell>
          <cell r="K57">
            <v>0</v>
          </cell>
          <cell r="O57">
            <v>0</v>
          </cell>
        </row>
        <row r="58">
          <cell r="E58" t="str">
            <v/>
          </cell>
          <cell r="F58" t="str">
            <v/>
          </cell>
          <cell r="I58" t="str">
            <v/>
          </cell>
          <cell r="J58" t="str">
            <v/>
          </cell>
          <cell r="K58">
            <v>0</v>
          </cell>
          <cell r="O58">
            <v>0</v>
          </cell>
        </row>
        <row r="59">
          <cell r="E59" t="str">
            <v/>
          </cell>
          <cell r="F59" t="str">
            <v/>
          </cell>
          <cell r="I59" t="str">
            <v/>
          </cell>
          <cell r="J59" t="str">
            <v/>
          </cell>
          <cell r="K59">
            <v>0</v>
          </cell>
          <cell r="O59">
            <v>0</v>
          </cell>
        </row>
        <row r="60">
          <cell r="E60" t="str">
            <v/>
          </cell>
          <cell r="F60" t="str">
            <v/>
          </cell>
          <cell r="I60" t="str">
            <v/>
          </cell>
          <cell r="J60" t="str">
            <v/>
          </cell>
          <cell r="K60">
            <v>0</v>
          </cell>
          <cell r="O60">
            <v>0</v>
          </cell>
        </row>
        <row r="61">
          <cell r="E61" t="str">
            <v/>
          </cell>
          <cell r="F61" t="str">
            <v/>
          </cell>
          <cell r="I61" t="str">
            <v/>
          </cell>
          <cell r="J61" t="str">
            <v/>
          </cell>
          <cell r="K61">
            <v>0</v>
          </cell>
          <cell r="O61">
            <v>0</v>
          </cell>
        </row>
        <row r="62">
          <cell r="E62" t="str">
            <v/>
          </cell>
          <cell r="F62" t="str">
            <v/>
          </cell>
          <cell r="I62" t="str">
            <v/>
          </cell>
          <cell r="J62" t="str">
            <v/>
          </cell>
          <cell r="K62">
            <v>0</v>
          </cell>
          <cell r="O62">
            <v>0</v>
          </cell>
        </row>
        <row r="68">
          <cell r="M68">
            <v>0</v>
          </cell>
          <cell r="N68">
            <v>0</v>
          </cell>
          <cell r="O68">
            <v>0</v>
          </cell>
        </row>
        <row r="69">
          <cell r="M69">
            <v>0</v>
          </cell>
          <cell r="N69">
            <v>0</v>
          </cell>
          <cell r="O69">
            <v>0</v>
          </cell>
        </row>
        <row r="70">
          <cell r="M70">
            <v>0</v>
          </cell>
          <cell r="N70">
            <v>0</v>
          </cell>
          <cell r="O70">
            <v>0</v>
          </cell>
        </row>
        <row r="71">
          <cell r="M71">
            <v>0</v>
          </cell>
          <cell r="N71">
            <v>0</v>
          </cell>
          <cell r="O71">
            <v>0</v>
          </cell>
        </row>
        <row r="72">
          <cell r="M72">
            <v>0</v>
          </cell>
          <cell r="N72">
            <v>0</v>
          </cell>
          <cell r="O72">
            <v>0</v>
          </cell>
        </row>
      </sheetData>
      <sheetData sheetId="11">
        <row r="8">
          <cell r="B8" t="str">
            <v>BatchCode</v>
          </cell>
          <cell r="C8" t="str">
            <v>Likely destination</v>
          </cell>
          <cell r="D8" t="str">
            <v>BlkCode</v>
          </cell>
          <cell r="E8" t="str">
            <v>Grower</v>
          </cell>
          <cell r="F8" t="str">
            <v>Variety</v>
          </cell>
          <cell r="G8" t="str">
            <v>Block</v>
          </cell>
          <cell r="H8" t="str">
            <v>ProjBlkTotal</v>
          </cell>
          <cell r="I8" t="str">
            <v>Tonnage</v>
          </cell>
          <cell r="J8" t="str">
            <v>Free run cut</v>
          </cell>
          <cell r="K8" t="str">
            <v>Post-ferment lees</v>
          </cell>
          <cell r="L8" t="str">
            <v>Tartaric</v>
          </cell>
          <cell r="M8" t="str">
            <v>Vinifying tannin</v>
          </cell>
          <cell r="N8" t="str">
            <v>Extraction Enzyme</v>
          </cell>
          <cell r="O8" t="str">
            <v>Yeast</v>
          </cell>
          <cell r="P8" t="str">
            <v>Yeast nutrient</v>
          </cell>
          <cell r="Q8" t="str">
            <v>MLF bacteria</v>
          </cell>
          <cell r="R8" t="str">
            <v>MLF Nutrient</v>
          </cell>
          <cell r="S8" t="str">
            <v>Elevage tannin</v>
          </cell>
          <cell r="T8" t="str">
            <v>Fortification spirit</v>
          </cell>
          <cell r="U8" t="str">
            <v>Post-ferment override volume</v>
          </cell>
          <cell r="X8" t="str">
            <v>FH-Hein</v>
          </cell>
          <cell r="Y8" t="str">
            <v>FH-WC</v>
          </cell>
          <cell r="Z8" t="str">
            <v>AH-WC</v>
          </cell>
          <cell r="AA8" t="str">
            <v>FH-TQ</v>
          </cell>
          <cell r="AB8" t="str">
            <v>FH-Rad</v>
          </cell>
          <cell r="AC8" t="str">
            <v>AH-Rad</v>
          </cell>
          <cell r="AD8" t="str">
            <v>FH-Vic</v>
          </cell>
          <cell r="AE8" t="str">
            <v>AH-Vic</v>
          </cell>
          <cell r="AF8" t="str">
            <v>AH-APJ</v>
          </cell>
          <cell r="AG8" t="str">
            <v>FH-Old</v>
          </cell>
          <cell r="AH8" t="str">
            <v>AH-Old</v>
          </cell>
          <cell r="AI8" t="str">
            <v>EO-Chain</v>
          </cell>
          <cell r="AL8">
            <v>8300</v>
          </cell>
          <cell r="AM8">
            <v>6600</v>
          </cell>
          <cell r="AN8">
            <v>4900</v>
          </cell>
          <cell r="AO8">
            <v>1000</v>
          </cell>
          <cell r="AR8" t="str">
            <v>[%]</v>
          </cell>
          <cell r="AS8" t="str">
            <v>[%]</v>
          </cell>
          <cell r="AT8" t="str">
            <v>[%]</v>
          </cell>
          <cell r="AU8" t="str">
            <v>[%]</v>
          </cell>
          <cell r="AV8" t="str">
            <v>[%]</v>
          </cell>
          <cell r="AW8" t="str">
            <v>[%]</v>
          </cell>
          <cell r="BB8" t="str">
            <v>FT-Inn</v>
          </cell>
          <cell r="BC8" t="str">
            <v>AT-Inn</v>
          </cell>
          <cell r="BD8" t="str">
            <v>FT-Evoak</v>
          </cell>
          <cell r="BE8" t="str">
            <v>AT-Evoak</v>
          </cell>
          <cell r="BF8" t="str">
            <v>FT-SM</v>
          </cell>
          <cell r="BG8" t="str">
            <v>AT-SM</v>
          </cell>
          <cell r="BJ8" t="str">
            <v>Labour Multiplier</v>
          </cell>
          <cell r="BK8" t="str">
            <v>MustVol</v>
          </cell>
          <cell r="BL8" t="str">
            <v>PostFermVol</v>
          </cell>
          <cell r="BN8" t="str">
            <v>Price</v>
          </cell>
          <cell r="BO8" t="str">
            <v>Processing</v>
          </cell>
          <cell r="BP8" t="str">
            <v>Transport</v>
          </cell>
          <cell r="BQ8" t="str">
            <v>Levies</v>
          </cell>
          <cell r="BR8" t="str">
            <v>Cost</v>
          </cell>
          <cell r="BT8" t="str">
            <v>Vinifying tannin price</v>
          </cell>
          <cell r="BU8" t="str">
            <v>Extraction enzyme price</v>
          </cell>
          <cell r="BV8" t="str">
            <v>Yeast price</v>
          </cell>
          <cell r="BW8" t="str">
            <v>Yeast nutrient price</v>
          </cell>
          <cell r="BX8" t="str">
            <v>MLF price</v>
          </cell>
          <cell r="BY8" t="str">
            <v>MLF Nutrient price</v>
          </cell>
          <cell r="BZ8" t="str">
            <v>Elevage tannin price</v>
          </cell>
          <cell r="CA8" t="str">
            <v>Fortifying spirit price</v>
          </cell>
          <cell r="CC8" t="str">
            <v>Tartaric</v>
          </cell>
          <cell r="CD8" t="str">
            <v>Vinifying tannin</v>
          </cell>
          <cell r="CE8" t="str">
            <v>Extraction enzyme</v>
          </cell>
          <cell r="CF8" t="str">
            <v>SO2 as PMS</v>
          </cell>
          <cell r="CI8" t="str">
            <v>DAP</v>
          </cell>
          <cell r="CJ8" t="str">
            <v>YeastTotal</v>
          </cell>
          <cell r="CK8" t="str">
            <v>Yeast nutrient</v>
          </cell>
          <cell r="CL8" t="str">
            <v>MLF</v>
          </cell>
          <cell r="CM8" t="str">
            <v>MLF nutrient</v>
          </cell>
          <cell r="CP8" t="str">
            <v>SO2 as PMS</v>
          </cell>
          <cell r="CQ8" t="str">
            <v>Tartaric</v>
          </cell>
          <cell r="CR8" t="str">
            <v>Elevage tannin</v>
          </cell>
          <cell r="CS8" t="str">
            <v>Fortifying spirit</v>
          </cell>
          <cell r="CU8" t="str">
            <v>Fruit cost</v>
          </cell>
          <cell r="CV8" t="str">
            <v>Ex-crusher costs</v>
          </cell>
          <cell r="CW8" t="str">
            <v>Ferment costs</v>
          </cell>
          <cell r="CX8" t="str">
            <v>Post-ferment costs</v>
          </cell>
          <cell r="CY8" t="str">
            <v>Consumables</v>
          </cell>
          <cell r="CZ8" t="str">
            <v>Oak costs</v>
          </cell>
          <cell r="DA8" t="str">
            <v>Labour costs</v>
          </cell>
          <cell r="DB8" t="str">
            <v>Overhead costs</v>
          </cell>
          <cell r="DC8" t="str">
            <v>Total</v>
          </cell>
          <cell r="DD8" t="str">
            <v>Available</v>
          </cell>
          <cell r="DE8" t="str">
            <v>Allocated volume</v>
          </cell>
          <cell r="DF8" t="str">
            <v>Remaining volume</v>
          </cell>
          <cell r="DG8" t="str">
            <v>Fruit cost</v>
          </cell>
          <cell r="DH8" t="str">
            <v>Ex-crusher costs</v>
          </cell>
          <cell r="DI8" t="str">
            <v>Ferment costs</v>
          </cell>
          <cell r="DJ8" t="str">
            <v>Post-ferment costs</v>
          </cell>
          <cell r="DK8" t="str">
            <v>Consumables</v>
          </cell>
          <cell r="DL8" t="str">
            <v>Oak costs</v>
          </cell>
          <cell r="DM8" t="str">
            <v>Labour costs</v>
          </cell>
          <cell r="DN8" t="str">
            <v>Overhead costs</v>
          </cell>
          <cell r="DO8" t="str">
            <v>Total</v>
          </cell>
        </row>
        <row r="9">
          <cell r="B9" t="str">
            <v>CAS14-OC</v>
          </cell>
          <cell r="C9" t="str">
            <v>CRCAM</v>
          </cell>
          <cell r="D9" t="str">
            <v>CSUO-CAS1</v>
          </cell>
          <cell r="E9" t="str">
            <v>CSU Orange</v>
          </cell>
          <cell r="F9" t="str">
            <v>Cabernet Sauvignon</v>
          </cell>
          <cell r="G9">
            <v>0</v>
          </cell>
          <cell r="H9">
            <v>1.6</v>
          </cell>
          <cell r="I9">
            <v>1.6</v>
          </cell>
          <cell r="J9">
            <v>750</v>
          </cell>
          <cell r="K9">
            <v>0.02</v>
          </cell>
          <cell r="M9" t="str">
            <v>Oak flour</v>
          </cell>
          <cell r="O9" t="str">
            <v>Melody</v>
          </cell>
          <cell r="P9" t="str">
            <v>Fermcontrol</v>
          </cell>
          <cell r="Q9" t="str">
            <v>VP41</v>
          </cell>
          <cell r="AA9">
            <v>2</v>
          </cell>
          <cell r="AG9">
            <v>3</v>
          </cell>
          <cell r="AY9">
            <v>1550</v>
          </cell>
          <cell r="AZ9">
            <v>-350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J9">
            <v>3</v>
          </cell>
          <cell r="BK9">
            <v>1200</v>
          </cell>
          <cell r="BL9">
            <v>1176</v>
          </cell>
          <cell r="BN9">
            <v>2000</v>
          </cell>
          <cell r="BO9">
            <v>0</v>
          </cell>
          <cell r="BP9">
            <v>100</v>
          </cell>
          <cell r="BQ9">
            <v>11.273732718894008</v>
          </cell>
          <cell r="BR9">
            <v>3378.0379723502301</v>
          </cell>
          <cell r="BT9">
            <v>8.5500000000000007</v>
          </cell>
          <cell r="BU9">
            <v>0</v>
          </cell>
          <cell r="BV9">
            <v>74</v>
          </cell>
          <cell r="BW9">
            <v>80</v>
          </cell>
          <cell r="BX9">
            <v>1.1500000000000001</v>
          </cell>
          <cell r="BY9">
            <v>0</v>
          </cell>
          <cell r="BZ9">
            <v>0</v>
          </cell>
          <cell r="CA9">
            <v>0</v>
          </cell>
          <cell r="CC9">
            <v>0</v>
          </cell>
          <cell r="CD9">
            <v>1.2</v>
          </cell>
          <cell r="CE9">
            <v>3.5999999999999997E-2</v>
          </cell>
          <cell r="CF9">
            <v>0.14399999999999999</v>
          </cell>
          <cell r="CI9">
            <v>0</v>
          </cell>
          <cell r="CJ9">
            <v>0.24</v>
          </cell>
          <cell r="CK9">
            <v>0.48</v>
          </cell>
          <cell r="CL9">
            <v>12</v>
          </cell>
          <cell r="CM9">
            <v>0.24</v>
          </cell>
          <cell r="CP9">
            <v>0.14112</v>
          </cell>
          <cell r="CQ9">
            <v>0</v>
          </cell>
          <cell r="CR9">
            <v>1.1759999999999999</v>
          </cell>
          <cell r="CS9">
            <v>235.20000000000002</v>
          </cell>
          <cell r="CU9">
            <v>3378.0379723502301</v>
          </cell>
          <cell r="CV9">
            <v>10.864799999999999</v>
          </cell>
          <cell r="CW9">
            <v>69.959999999999994</v>
          </cell>
          <cell r="CX9">
            <v>0.59270400000000001</v>
          </cell>
          <cell r="CZ9">
            <v>2725.8</v>
          </cell>
          <cell r="DA9">
            <v>3951.3859132917601</v>
          </cell>
          <cell r="DB9">
            <v>803.42454102173053</v>
          </cell>
          <cell r="DC9">
            <v>10940.065930663721</v>
          </cell>
          <cell r="DD9">
            <v>1176</v>
          </cell>
          <cell r="DE9">
            <v>0</v>
          </cell>
          <cell r="DF9">
            <v>1176</v>
          </cell>
          <cell r="DG9">
            <v>2.8724812690052977</v>
          </cell>
          <cell r="DH9">
            <v>9.2387755102040815E-3</v>
          </cell>
          <cell r="DI9">
            <v>5.9489795918367339E-2</v>
          </cell>
          <cell r="DJ9">
            <v>5.04E-4</v>
          </cell>
          <cell r="DK9">
            <v>0</v>
          </cell>
          <cell r="DL9">
            <v>2.3178571428571431</v>
          </cell>
          <cell r="DM9">
            <v>3.3600220351120407</v>
          </cell>
          <cell r="DN9">
            <v>0.68318413352187968</v>
          </cell>
          <cell r="DO9">
            <v>9.302777151924932</v>
          </cell>
        </row>
        <row r="10">
          <cell r="B10" t="str">
            <v>CAS14-OCBins</v>
          </cell>
          <cell r="C10" t="str">
            <v>RRCAS</v>
          </cell>
          <cell r="D10" t="str">
            <v>CSUO-CAS1</v>
          </cell>
          <cell r="E10" t="str">
            <v>CSU Orange</v>
          </cell>
          <cell r="F10" t="str">
            <v>Cabernet Sauvignon</v>
          </cell>
          <cell r="G10">
            <v>0</v>
          </cell>
          <cell r="H10">
            <v>1.6</v>
          </cell>
          <cell r="J10">
            <v>750</v>
          </cell>
          <cell r="K10">
            <v>0.02</v>
          </cell>
          <cell r="M10" t="str">
            <v>Oak flour</v>
          </cell>
          <cell r="O10" t="str">
            <v>Melody</v>
          </cell>
          <cell r="P10" t="str">
            <v>Fermcontrol</v>
          </cell>
          <cell r="Q10" t="str">
            <v>VP41</v>
          </cell>
          <cell r="AY10">
            <v>0</v>
          </cell>
          <cell r="AZ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J10">
            <v>0</v>
          </cell>
          <cell r="BK10">
            <v>0</v>
          </cell>
          <cell r="BL10">
            <v>0</v>
          </cell>
          <cell r="BN10">
            <v>2000</v>
          </cell>
          <cell r="BO10">
            <v>0</v>
          </cell>
          <cell r="BP10">
            <v>100</v>
          </cell>
          <cell r="BQ10">
            <v>11.273732718894008</v>
          </cell>
          <cell r="BR10">
            <v>0</v>
          </cell>
          <cell r="BT10">
            <v>8.5500000000000007</v>
          </cell>
          <cell r="BU10">
            <v>0</v>
          </cell>
          <cell r="BV10">
            <v>74</v>
          </cell>
          <cell r="BW10">
            <v>80</v>
          </cell>
          <cell r="BX10">
            <v>1.1500000000000001</v>
          </cell>
          <cell r="BY10">
            <v>0</v>
          </cell>
          <cell r="BZ10">
            <v>0</v>
          </cell>
          <cell r="CA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U10">
            <v>0</v>
          </cell>
          <cell r="CV10">
            <v>0</v>
          </cell>
          <cell r="CW10">
            <v>0</v>
          </cell>
          <cell r="CX10">
            <v>0</v>
          </cell>
          <cell r="CZ10">
            <v>0</v>
          </cell>
          <cell r="DA10">
            <v>0</v>
          </cell>
          <cell r="DB10">
            <v>0</v>
          </cell>
          <cell r="DC10">
            <v>0</v>
          </cell>
          <cell r="DD10">
            <v>0</v>
          </cell>
          <cell r="DE10">
            <v>0</v>
          </cell>
          <cell r="DF10">
            <v>0</v>
          </cell>
          <cell r="DG10">
            <v>0</v>
          </cell>
          <cell r="DH10">
            <v>0</v>
          </cell>
          <cell r="DI10">
            <v>0</v>
          </cell>
          <cell r="DJ10">
            <v>0</v>
          </cell>
          <cell r="DK10">
            <v>0</v>
          </cell>
          <cell r="DL10">
            <v>0</v>
          </cell>
          <cell r="DM10">
            <v>0</v>
          </cell>
          <cell r="DN10">
            <v>0</v>
          </cell>
          <cell r="DO10">
            <v>0</v>
          </cell>
        </row>
        <row r="11">
          <cell r="J11">
            <v>750</v>
          </cell>
          <cell r="K11">
            <v>0.02</v>
          </cell>
          <cell r="M11" t="str">
            <v>Oak flour</v>
          </cell>
          <cell r="O11" t="str">
            <v>Melody</v>
          </cell>
          <cell r="P11" t="str">
            <v>Fermcontrol</v>
          </cell>
          <cell r="Q11" t="str">
            <v>VP41</v>
          </cell>
          <cell r="AY11">
            <v>0</v>
          </cell>
          <cell r="AZ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J11">
            <v>0</v>
          </cell>
          <cell r="BK11">
            <v>0</v>
          </cell>
          <cell r="BL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11.273732718894008</v>
          </cell>
          <cell r="BR11">
            <v>0</v>
          </cell>
          <cell r="BT11">
            <v>8.5500000000000007</v>
          </cell>
          <cell r="BU11">
            <v>0</v>
          </cell>
          <cell r="BV11">
            <v>74</v>
          </cell>
          <cell r="BW11">
            <v>80</v>
          </cell>
          <cell r="BX11">
            <v>1.1500000000000001</v>
          </cell>
          <cell r="BY11">
            <v>0</v>
          </cell>
          <cell r="BZ11">
            <v>0</v>
          </cell>
          <cell r="CA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P11">
            <v>0</v>
          </cell>
          <cell r="CQ11">
            <v>0</v>
          </cell>
          <cell r="CR11">
            <v>0</v>
          </cell>
          <cell r="CS11">
            <v>0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Z11">
            <v>0</v>
          </cell>
          <cell r="DA11">
            <v>0</v>
          </cell>
          <cell r="DB11">
            <v>0</v>
          </cell>
          <cell r="DC11">
            <v>0</v>
          </cell>
          <cell r="DD11">
            <v>0</v>
          </cell>
          <cell r="DE11">
            <v>0</v>
          </cell>
          <cell r="DF11">
            <v>0</v>
          </cell>
          <cell r="DG11">
            <v>0</v>
          </cell>
          <cell r="DH11">
            <v>0</v>
          </cell>
          <cell r="DI11">
            <v>0</v>
          </cell>
          <cell r="DJ11">
            <v>0</v>
          </cell>
          <cell r="DK11">
            <v>0</v>
          </cell>
          <cell r="DL11">
            <v>0</v>
          </cell>
          <cell r="DM11">
            <v>0</v>
          </cell>
          <cell r="DN11">
            <v>0</v>
          </cell>
          <cell r="DO11">
            <v>0</v>
          </cell>
        </row>
        <row r="12">
          <cell r="B12" t="str">
            <v>MLT14-OC</v>
          </cell>
          <cell r="C12" t="str">
            <v>NRMER</v>
          </cell>
          <cell r="D12" t="str">
            <v>CSUO-MLT1</v>
          </cell>
          <cell r="E12" t="str">
            <v>CSU Orange</v>
          </cell>
          <cell r="F12" t="str">
            <v>Merlot</v>
          </cell>
          <cell r="G12">
            <v>6</v>
          </cell>
          <cell r="H12">
            <v>2.1</v>
          </cell>
          <cell r="I12">
            <v>2.1</v>
          </cell>
          <cell r="J12">
            <v>750</v>
          </cell>
          <cell r="K12">
            <v>0.02</v>
          </cell>
          <cell r="M12" t="str">
            <v>Oak flour</v>
          </cell>
          <cell r="O12" t="str">
            <v>Melody</v>
          </cell>
          <cell r="P12" t="str">
            <v>Fermcontrol</v>
          </cell>
          <cell r="Q12" t="str">
            <v>VP41</v>
          </cell>
          <cell r="AA12">
            <v>1</v>
          </cell>
          <cell r="AG12">
            <v>4</v>
          </cell>
          <cell r="AY12">
            <v>1550</v>
          </cell>
          <cell r="AZ12">
            <v>25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J12">
            <v>3</v>
          </cell>
          <cell r="BK12">
            <v>1575</v>
          </cell>
          <cell r="BL12">
            <v>1543.5</v>
          </cell>
          <cell r="BN12">
            <v>1700</v>
          </cell>
          <cell r="BO12">
            <v>0</v>
          </cell>
          <cell r="BP12">
            <v>100</v>
          </cell>
          <cell r="BQ12">
            <v>11.273732718894008</v>
          </cell>
          <cell r="BR12">
            <v>3803.6748387096777</v>
          </cell>
          <cell r="BT12">
            <v>8.5500000000000007</v>
          </cell>
          <cell r="BU12">
            <v>0</v>
          </cell>
          <cell r="BV12">
            <v>74</v>
          </cell>
          <cell r="BW12">
            <v>80</v>
          </cell>
          <cell r="BX12">
            <v>1.1500000000000001</v>
          </cell>
          <cell r="BY12">
            <v>0</v>
          </cell>
          <cell r="BZ12">
            <v>0</v>
          </cell>
          <cell r="CA12">
            <v>0</v>
          </cell>
          <cell r="CC12">
            <v>0</v>
          </cell>
          <cell r="CD12">
            <v>1.575</v>
          </cell>
          <cell r="CE12">
            <v>4.725E-2</v>
          </cell>
          <cell r="CF12">
            <v>0.189</v>
          </cell>
          <cell r="CI12">
            <v>0</v>
          </cell>
          <cell r="CJ12">
            <v>0.315</v>
          </cell>
          <cell r="CK12">
            <v>0.63</v>
          </cell>
          <cell r="CL12">
            <v>15.75</v>
          </cell>
          <cell r="CM12">
            <v>0.315</v>
          </cell>
          <cell r="CP12">
            <v>0.18522</v>
          </cell>
          <cell r="CQ12">
            <v>0</v>
          </cell>
          <cell r="CR12">
            <v>1.5435000000000001</v>
          </cell>
          <cell r="CS12">
            <v>308.70000000000005</v>
          </cell>
          <cell r="CU12">
            <v>3803.6748387096777</v>
          </cell>
          <cell r="CV12">
            <v>14.26005</v>
          </cell>
          <cell r="CW12">
            <v>91.822499999999991</v>
          </cell>
          <cell r="CX12">
            <v>0.77792400000000006</v>
          </cell>
          <cell r="CZ12">
            <v>1362.9</v>
          </cell>
          <cell r="DA12">
            <v>5186.1940111954355</v>
          </cell>
          <cell r="DB12">
            <v>1054.4947100910213</v>
          </cell>
          <cell r="DC12">
            <v>11514.124033996135</v>
          </cell>
          <cell r="DD12">
            <v>1543.5</v>
          </cell>
          <cell r="DE12">
            <v>0</v>
          </cell>
          <cell r="DF12">
            <v>1543.5</v>
          </cell>
          <cell r="DG12">
            <v>2.4643180036991756</v>
          </cell>
          <cell r="DH12">
            <v>9.2387755102040815E-3</v>
          </cell>
          <cell r="DI12">
            <v>5.9489795918367339E-2</v>
          </cell>
          <cell r="DJ12">
            <v>5.04E-4</v>
          </cell>
          <cell r="DK12">
            <v>0</v>
          </cell>
          <cell r="DL12">
            <v>0.88299319727891168</v>
          </cell>
          <cell r="DM12">
            <v>3.3600220351120411</v>
          </cell>
          <cell r="DN12">
            <v>0.68318413352187968</v>
          </cell>
          <cell r="DO12">
            <v>7.4597499410405801</v>
          </cell>
        </row>
        <row r="13">
          <cell r="B13" t="str">
            <v>MLT14-OO</v>
          </cell>
          <cell r="C13" t="str">
            <v>CRCAM</v>
          </cell>
          <cell r="D13" t="str">
            <v>GUOT-MLT1</v>
          </cell>
          <cell r="E13" t="str">
            <v>Other Gundagai</v>
          </cell>
          <cell r="F13" t="str">
            <v>Merlot</v>
          </cell>
          <cell r="G13">
            <v>0</v>
          </cell>
          <cell r="H13">
            <v>0</v>
          </cell>
          <cell r="J13">
            <v>750</v>
          </cell>
          <cell r="K13">
            <v>0.02</v>
          </cell>
          <cell r="M13" t="str">
            <v>Oak flour</v>
          </cell>
          <cell r="O13" t="str">
            <v>Melody</v>
          </cell>
          <cell r="P13" t="str">
            <v>Fermcontrol</v>
          </cell>
          <cell r="Q13" t="str">
            <v>VP41</v>
          </cell>
          <cell r="AY13">
            <v>0</v>
          </cell>
          <cell r="AZ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J13">
            <v>0</v>
          </cell>
          <cell r="BK13">
            <v>0</v>
          </cell>
          <cell r="BL13">
            <v>0</v>
          </cell>
          <cell r="BN13">
            <v>700</v>
          </cell>
          <cell r="BO13">
            <v>0</v>
          </cell>
          <cell r="BP13">
            <v>100</v>
          </cell>
          <cell r="BQ13">
            <v>11.273732718894008</v>
          </cell>
          <cell r="BR13">
            <v>0</v>
          </cell>
          <cell r="BT13">
            <v>8.5500000000000007</v>
          </cell>
          <cell r="BU13">
            <v>0</v>
          </cell>
          <cell r="BV13">
            <v>74</v>
          </cell>
          <cell r="BW13">
            <v>80</v>
          </cell>
          <cell r="BX13">
            <v>1.1500000000000001</v>
          </cell>
          <cell r="BY13">
            <v>0</v>
          </cell>
          <cell r="BZ13">
            <v>0</v>
          </cell>
          <cell r="CA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</row>
        <row r="14">
          <cell r="B14" t="str">
            <v>MLT14-OL</v>
          </cell>
          <cell r="C14" t="str">
            <v>NRMER</v>
          </cell>
          <cell r="D14" t="str">
            <v>LOFT-MLT1</v>
          </cell>
          <cell r="E14" t="str">
            <v>Lofty Vineyard</v>
          </cell>
          <cell r="F14" t="str">
            <v>Merlot</v>
          </cell>
          <cell r="G14">
            <v>0</v>
          </cell>
          <cell r="H14">
            <v>0</v>
          </cell>
          <cell r="J14">
            <v>750</v>
          </cell>
          <cell r="K14">
            <v>0.02</v>
          </cell>
          <cell r="M14" t="str">
            <v>Oak flour</v>
          </cell>
          <cell r="O14" t="str">
            <v>Melody</v>
          </cell>
          <cell r="P14" t="str">
            <v>Fermcontrol</v>
          </cell>
          <cell r="Q14" t="str">
            <v>VP41</v>
          </cell>
          <cell r="AY14">
            <v>0</v>
          </cell>
          <cell r="AZ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J14">
            <v>0</v>
          </cell>
          <cell r="BK14">
            <v>0</v>
          </cell>
          <cell r="BL14">
            <v>0</v>
          </cell>
          <cell r="BN14">
            <v>1600</v>
          </cell>
          <cell r="BO14">
            <v>0</v>
          </cell>
          <cell r="BP14">
            <v>100</v>
          </cell>
          <cell r="BQ14">
            <v>11.273732718894008</v>
          </cell>
          <cell r="BR14">
            <v>0</v>
          </cell>
          <cell r="BT14">
            <v>8.5500000000000007</v>
          </cell>
          <cell r="BU14">
            <v>0</v>
          </cell>
          <cell r="BV14">
            <v>74</v>
          </cell>
          <cell r="BW14">
            <v>80</v>
          </cell>
          <cell r="BX14">
            <v>1.1500000000000001</v>
          </cell>
          <cell r="BY14">
            <v>0</v>
          </cell>
          <cell r="BZ14">
            <v>0</v>
          </cell>
          <cell r="CA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</row>
        <row r="15">
          <cell r="E15" t="str">
            <v/>
          </cell>
          <cell r="F15" t="str">
            <v/>
          </cell>
          <cell r="G15" t="str">
            <v/>
          </cell>
          <cell r="H15" t="str">
            <v/>
          </cell>
          <cell r="J15">
            <v>750</v>
          </cell>
          <cell r="K15">
            <v>0.02</v>
          </cell>
          <cell r="M15" t="str">
            <v>Oak flour</v>
          </cell>
          <cell r="O15" t="str">
            <v>Melody</v>
          </cell>
          <cell r="P15" t="str">
            <v>Fermcontrol</v>
          </cell>
          <cell r="Q15" t="str">
            <v>VP41</v>
          </cell>
          <cell r="AY15">
            <v>0</v>
          </cell>
          <cell r="AZ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J15">
            <v>0</v>
          </cell>
          <cell r="BK15">
            <v>0</v>
          </cell>
          <cell r="BL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11.273732718894008</v>
          </cell>
          <cell r="BR15">
            <v>0</v>
          </cell>
          <cell r="BT15">
            <v>8.5500000000000007</v>
          </cell>
          <cell r="BU15">
            <v>0</v>
          </cell>
          <cell r="BV15">
            <v>74</v>
          </cell>
          <cell r="BW15">
            <v>80</v>
          </cell>
          <cell r="BX15">
            <v>1.1500000000000001</v>
          </cell>
          <cell r="BY15">
            <v>0</v>
          </cell>
          <cell r="BZ15">
            <v>0</v>
          </cell>
          <cell r="CA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</row>
        <row r="16">
          <cell r="B16" t="str">
            <v>CAS14-HMA</v>
          </cell>
          <cell r="C16" t="str">
            <v>CRCAM</v>
          </cell>
          <cell r="D16" t="str">
            <v>MOKH-CASF</v>
          </cell>
          <cell r="E16" t="str">
            <v>Mokhinui</v>
          </cell>
          <cell r="F16" t="str">
            <v>Cabernet Sauvignon</v>
          </cell>
          <cell r="G16">
            <v>0</v>
          </cell>
          <cell r="H16">
            <v>0</v>
          </cell>
          <cell r="J16">
            <v>750</v>
          </cell>
          <cell r="K16">
            <v>0.02</v>
          </cell>
          <cell r="L16">
            <v>2</v>
          </cell>
          <cell r="M16" t="str">
            <v>Oak flour</v>
          </cell>
          <cell r="O16" t="str">
            <v>Melody</v>
          </cell>
          <cell r="P16" t="str">
            <v>Fermcontrol</v>
          </cell>
          <cell r="Q16" t="str">
            <v>VP41</v>
          </cell>
          <cell r="AY16">
            <v>0</v>
          </cell>
          <cell r="AZ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J16">
            <v>0</v>
          </cell>
          <cell r="BK16">
            <v>0</v>
          </cell>
          <cell r="BL16">
            <v>0</v>
          </cell>
          <cell r="BN16">
            <v>2000</v>
          </cell>
          <cell r="BO16">
            <v>0</v>
          </cell>
          <cell r="BP16">
            <v>93.76</v>
          </cell>
          <cell r="BQ16">
            <v>11.273732718894008</v>
          </cell>
          <cell r="BR16">
            <v>0</v>
          </cell>
          <cell r="BT16">
            <v>8.5500000000000007</v>
          </cell>
          <cell r="BU16">
            <v>0</v>
          </cell>
          <cell r="BV16">
            <v>74</v>
          </cell>
          <cell r="BW16">
            <v>80</v>
          </cell>
          <cell r="BX16">
            <v>1.1500000000000001</v>
          </cell>
          <cell r="BY16">
            <v>0</v>
          </cell>
          <cell r="BZ16">
            <v>0</v>
          </cell>
          <cell r="CA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</row>
        <row r="17">
          <cell r="B17" t="str">
            <v>CAS14-HMBBins</v>
          </cell>
          <cell r="C17" t="str">
            <v>RRCAS</v>
          </cell>
          <cell r="D17" t="str">
            <v>MOKH-CASF</v>
          </cell>
          <cell r="E17" t="str">
            <v>Mokhinui</v>
          </cell>
          <cell r="F17" t="str">
            <v>Cabernet Sauvignon</v>
          </cell>
          <cell r="G17">
            <v>0</v>
          </cell>
          <cell r="H17">
            <v>0</v>
          </cell>
          <cell r="J17">
            <v>750</v>
          </cell>
          <cell r="K17">
            <v>0.02</v>
          </cell>
          <cell r="L17">
            <v>2</v>
          </cell>
          <cell r="M17" t="str">
            <v>Oak flour</v>
          </cell>
          <cell r="O17" t="str">
            <v>Melody</v>
          </cell>
          <cell r="P17" t="str">
            <v>Fermcontrol</v>
          </cell>
          <cell r="Q17" t="str">
            <v>VP41</v>
          </cell>
          <cell r="AY17">
            <v>0</v>
          </cell>
          <cell r="AZ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J17">
            <v>0</v>
          </cell>
          <cell r="BK17">
            <v>0</v>
          </cell>
          <cell r="BL17">
            <v>0</v>
          </cell>
          <cell r="BN17">
            <v>2000</v>
          </cell>
          <cell r="BO17">
            <v>0</v>
          </cell>
          <cell r="BP17">
            <v>93.76</v>
          </cell>
          <cell r="BQ17">
            <v>11.273732718894008</v>
          </cell>
          <cell r="BR17">
            <v>0</v>
          </cell>
          <cell r="BT17">
            <v>8.5500000000000007</v>
          </cell>
          <cell r="BU17">
            <v>0</v>
          </cell>
          <cell r="BV17">
            <v>74</v>
          </cell>
          <cell r="BW17">
            <v>80</v>
          </cell>
          <cell r="BX17">
            <v>1.1500000000000001</v>
          </cell>
          <cell r="BY17">
            <v>0</v>
          </cell>
          <cell r="BZ17">
            <v>0</v>
          </cell>
          <cell r="CA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</row>
        <row r="18">
          <cell r="E18" t="str">
            <v/>
          </cell>
          <cell r="F18" t="str">
            <v/>
          </cell>
          <cell r="G18" t="str">
            <v/>
          </cell>
          <cell r="H18" t="str">
            <v/>
          </cell>
          <cell r="J18">
            <v>750</v>
          </cell>
          <cell r="K18">
            <v>0.02</v>
          </cell>
          <cell r="M18" t="str">
            <v>Oak flour</v>
          </cell>
          <cell r="O18" t="str">
            <v>Melody</v>
          </cell>
          <cell r="P18" t="str">
            <v>Fermcontrol</v>
          </cell>
          <cell r="Q18" t="str">
            <v>VP41</v>
          </cell>
          <cell r="AY18">
            <v>0</v>
          </cell>
          <cell r="AZ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J18">
            <v>0</v>
          </cell>
          <cell r="BK18">
            <v>0</v>
          </cell>
          <cell r="BL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11.273732718894008</v>
          </cell>
          <cell r="BR18">
            <v>0</v>
          </cell>
          <cell r="BT18">
            <v>8.5500000000000007</v>
          </cell>
          <cell r="BU18">
            <v>0</v>
          </cell>
          <cell r="BV18">
            <v>74</v>
          </cell>
          <cell r="BW18">
            <v>80</v>
          </cell>
          <cell r="BX18">
            <v>1.1500000000000001</v>
          </cell>
          <cell r="BY18">
            <v>0</v>
          </cell>
          <cell r="BZ18">
            <v>0</v>
          </cell>
          <cell r="CA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</row>
        <row r="19">
          <cell r="B19" t="str">
            <v>CAS14-OO</v>
          </cell>
          <cell r="C19" t="str">
            <v>CRCAM</v>
          </cell>
          <cell r="D19" t="str">
            <v>OROT-CAS1</v>
          </cell>
          <cell r="E19" t="str">
            <v>Other Orange</v>
          </cell>
          <cell r="F19" t="str">
            <v>Cabernet Sauvignon</v>
          </cell>
          <cell r="G19">
            <v>0</v>
          </cell>
          <cell r="H19">
            <v>0</v>
          </cell>
          <cell r="J19">
            <v>750</v>
          </cell>
          <cell r="K19">
            <v>0.02</v>
          </cell>
          <cell r="M19" t="str">
            <v>Oak flour</v>
          </cell>
          <cell r="O19" t="str">
            <v>Melody</v>
          </cell>
          <cell r="P19" t="str">
            <v>Fermcontrol</v>
          </cell>
          <cell r="Q19" t="str">
            <v>VP41</v>
          </cell>
          <cell r="AY19">
            <v>0</v>
          </cell>
          <cell r="AZ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J19">
            <v>0</v>
          </cell>
          <cell r="BK19">
            <v>0</v>
          </cell>
          <cell r="BL19">
            <v>0</v>
          </cell>
          <cell r="BN19">
            <v>1500</v>
          </cell>
          <cell r="BO19">
            <v>0</v>
          </cell>
          <cell r="BP19">
            <v>100</v>
          </cell>
          <cell r="BQ19">
            <v>11.273732718894008</v>
          </cell>
          <cell r="BR19">
            <v>0</v>
          </cell>
          <cell r="BT19">
            <v>8.5500000000000007</v>
          </cell>
          <cell r="BU19">
            <v>0</v>
          </cell>
          <cell r="BV19">
            <v>74</v>
          </cell>
          <cell r="BW19">
            <v>80</v>
          </cell>
          <cell r="BX19">
            <v>1.1500000000000001</v>
          </cell>
          <cell r="BY19">
            <v>0</v>
          </cell>
          <cell r="BZ19">
            <v>0</v>
          </cell>
          <cell r="CA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</row>
        <row r="20">
          <cell r="B20" t="str">
            <v>CAS14-GO</v>
          </cell>
          <cell r="C20" t="str">
            <v>CRCAM</v>
          </cell>
          <cell r="D20" t="str">
            <v>GUOT-CAS1</v>
          </cell>
          <cell r="E20" t="str">
            <v>Other Gundagai</v>
          </cell>
          <cell r="F20" t="str">
            <v>Cabernet Sauvignon</v>
          </cell>
          <cell r="G20">
            <v>0</v>
          </cell>
          <cell r="H20">
            <v>0</v>
          </cell>
          <cell r="J20">
            <v>750</v>
          </cell>
          <cell r="K20">
            <v>0.02</v>
          </cell>
          <cell r="L20">
            <v>4</v>
          </cell>
          <cell r="M20" t="str">
            <v>Oak flour</v>
          </cell>
          <cell r="O20" t="str">
            <v>Melody</v>
          </cell>
          <cell r="P20" t="str">
            <v>Fermcontrol</v>
          </cell>
          <cell r="Q20" t="str">
            <v>VP41</v>
          </cell>
          <cell r="AY20">
            <v>0</v>
          </cell>
          <cell r="AZ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J20">
            <v>0</v>
          </cell>
          <cell r="BK20">
            <v>0</v>
          </cell>
          <cell r="BL20">
            <v>0</v>
          </cell>
          <cell r="BN20">
            <v>700</v>
          </cell>
          <cell r="BO20">
            <v>0</v>
          </cell>
          <cell r="BP20">
            <v>100</v>
          </cell>
          <cell r="BQ20">
            <v>11.273732718894008</v>
          </cell>
          <cell r="BR20">
            <v>0</v>
          </cell>
          <cell r="BT20">
            <v>8.5500000000000007</v>
          </cell>
          <cell r="BU20">
            <v>0</v>
          </cell>
          <cell r="BV20">
            <v>74</v>
          </cell>
          <cell r="BW20">
            <v>80</v>
          </cell>
          <cell r="BX20">
            <v>1.1500000000000001</v>
          </cell>
          <cell r="BY20">
            <v>0</v>
          </cell>
          <cell r="BZ20">
            <v>0</v>
          </cell>
          <cell r="CA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</row>
        <row r="21">
          <cell r="E21" t="str">
            <v/>
          </cell>
          <cell r="F21" t="str">
            <v/>
          </cell>
          <cell r="G21" t="str">
            <v/>
          </cell>
          <cell r="H21" t="str">
            <v/>
          </cell>
          <cell r="J21">
            <v>750</v>
          </cell>
          <cell r="K21">
            <v>0.02</v>
          </cell>
          <cell r="M21" t="str">
            <v>Oak flour</v>
          </cell>
          <cell r="O21" t="str">
            <v>Melody</v>
          </cell>
          <cell r="P21" t="str">
            <v>Fermcontrol</v>
          </cell>
          <cell r="Q21" t="str">
            <v>VP41</v>
          </cell>
          <cell r="AY21">
            <v>0</v>
          </cell>
          <cell r="AZ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J21">
            <v>0</v>
          </cell>
          <cell r="BK21">
            <v>0</v>
          </cell>
          <cell r="BL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11.273732718894008</v>
          </cell>
          <cell r="BR21">
            <v>0</v>
          </cell>
          <cell r="BT21">
            <v>8.5500000000000007</v>
          </cell>
          <cell r="BU21">
            <v>0</v>
          </cell>
          <cell r="BV21">
            <v>74</v>
          </cell>
          <cell r="BW21">
            <v>80</v>
          </cell>
          <cell r="BX21">
            <v>1.1500000000000001</v>
          </cell>
          <cell r="BY21">
            <v>0</v>
          </cell>
          <cell r="BZ21">
            <v>0</v>
          </cell>
          <cell r="CA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</row>
        <row r="22">
          <cell r="B22" t="str">
            <v>CAS14-WC</v>
          </cell>
          <cell r="C22" t="str">
            <v>CRCAM</v>
          </cell>
          <cell r="D22" t="str">
            <v>CSUW-CAS5</v>
          </cell>
          <cell r="E22" t="str">
            <v>CSU Wagga</v>
          </cell>
          <cell r="F22" t="str">
            <v>Cabernet Sauvignon</v>
          </cell>
          <cell r="G22">
            <v>5</v>
          </cell>
          <cell r="H22">
            <v>8.5</v>
          </cell>
          <cell r="J22">
            <v>750</v>
          </cell>
          <cell r="K22">
            <v>0.02</v>
          </cell>
          <cell r="L22">
            <v>4</v>
          </cell>
          <cell r="M22" t="str">
            <v>Oak flour</v>
          </cell>
          <cell r="O22" t="str">
            <v>Melody</v>
          </cell>
          <cell r="P22" t="str">
            <v>Fermcontrol</v>
          </cell>
          <cell r="Q22" t="str">
            <v>VP41</v>
          </cell>
          <cell r="AY22">
            <v>0</v>
          </cell>
          <cell r="AZ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J22">
            <v>0</v>
          </cell>
          <cell r="BK22">
            <v>0</v>
          </cell>
          <cell r="BL22">
            <v>0</v>
          </cell>
          <cell r="BN22">
            <v>400</v>
          </cell>
          <cell r="BO22">
            <v>0</v>
          </cell>
          <cell r="BP22">
            <v>0</v>
          </cell>
          <cell r="BQ22">
            <v>11.273732718894008</v>
          </cell>
          <cell r="BR22">
            <v>0</v>
          </cell>
          <cell r="BT22">
            <v>8.5500000000000007</v>
          </cell>
          <cell r="BU22">
            <v>0</v>
          </cell>
          <cell r="BV22">
            <v>74</v>
          </cell>
          <cell r="BW22">
            <v>80</v>
          </cell>
          <cell r="BX22">
            <v>1.1500000000000001</v>
          </cell>
          <cell r="BY22">
            <v>0</v>
          </cell>
          <cell r="BZ22">
            <v>0</v>
          </cell>
          <cell r="CA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</row>
        <row r="23">
          <cell r="E23" t="str">
            <v/>
          </cell>
          <cell r="F23" t="str">
            <v/>
          </cell>
          <cell r="G23" t="str">
            <v/>
          </cell>
          <cell r="H23" t="str">
            <v/>
          </cell>
          <cell r="J23">
            <v>750</v>
          </cell>
          <cell r="K23">
            <v>0.02</v>
          </cell>
          <cell r="M23" t="str">
            <v>Oak flour</v>
          </cell>
          <cell r="P23" t="str">
            <v>Fermcontrol</v>
          </cell>
          <cell r="Q23" t="str">
            <v>VP41</v>
          </cell>
          <cell r="AY23">
            <v>0</v>
          </cell>
          <cell r="AZ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J23">
            <v>0</v>
          </cell>
          <cell r="BK23">
            <v>0</v>
          </cell>
          <cell r="BL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11.273732718894008</v>
          </cell>
          <cell r="BR23">
            <v>0</v>
          </cell>
          <cell r="BT23">
            <v>8.5500000000000007</v>
          </cell>
          <cell r="BU23">
            <v>0</v>
          </cell>
          <cell r="BV23">
            <v>0</v>
          </cell>
          <cell r="BW23">
            <v>80</v>
          </cell>
          <cell r="BX23">
            <v>1.1500000000000001</v>
          </cell>
          <cell r="BY23">
            <v>0</v>
          </cell>
          <cell r="BZ23">
            <v>0</v>
          </cell>
          <cell r="CA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</row>
        <row r="24">
          <cell r="B24" t="str">
            <v>SHZ14-OCA</v>
          </cell>
          <cell r="C24" t="str">
            <v>CRSHZ</v>
          </cell>
          <cell r="D24" t="str">
            <v>CSUO-SHZ1</v>
          </cell>
          <cell r="E24" t="str">
            <v>CSU Orange</v>
          </cell>
          <cell r="F24" t="str">
            <v>Shiraz</v>
          </cell>
          <cell r="G24">
            <v>0</v>
          </cell>
          <cell r="H24">
            <v>0</v>
          </cell>
          <cell r="J24">
            <v>750</v>
          </cell>
          <cell r="K24">
            <v>0.02</v>
          </cell>
          <cell r="M24" t="str">
            <v>Oak flour</v>
          </cell>
          <cell r="O24" t="str">
            <v>Rhythm</v>
          </cell>
          <cell r="P24" t="str">
            <v>Fermcontrol</v>
          </cell>
          <cell r="Q24" t="str">
            <v>VP41</v>
          </cell>
          <cell r="AA24">
            <v>1</v>
          </cell>
          <cell r="AF24">
            <v>1</v>
          </cell>
          <cell r="AG24">
            <v>1</v>
          </cell>
          <cell r="AO24">
            <v>2</v>
          </cell>
          <cell r="AV24">
            <v>0.16</v>
          </cell>
          <cell r="AY24">
            <v>930</v>
          </cell>
          <cell r="AZ24">
            <v>-2930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1</v>
          </cell>
          <cell r="BG24">
            <v>0</v>
          </cell>
          <cell r="BJ24">
            <v>0</v>
          </cell>
          <cell r="BK24">
            <v>0</v>
          </cell>
          <cell r="BL24">
            <v>0</v>
          </cell>
          <cell r="BN24">
            <v>1300</v>
          </cell>
          <cell r="BO24">
            <v>0</v>
          </cell>
          <cell r="BP24">
            <v>100</v>
          </cell>
          <cell r="BQ24">
            <v>11.273732718894008</v>
          </cell>
          <cell r="BR24">
            <v>0</v>
          </cell>
          <cell r="BT24">
            <v>8.5500000000000007</v>
          </cell>
          <cell r="BU24">
            <v>0</v>
          </cell>
          <cell r="BV24">
            <v>74</v>
          </cell>
          <cell r="BW24">
            <v>80</v>
          </cell>
          <cell r="BX24">
            <v>1.1500000000000001</v>
          </cell>
          <cell r="BY24">
            <v>0</v>
          </cell>
          <cell r="BZ24">
            <v>0</v>
          </cell>
          <cell r="CA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Z24">
            <v>2637.9</v>
          </cell>
          <cell r="DA24">
            <v>0</v>
          </cell>
          <cell r="DB24">
            <v>0</v>
          </cell>
          <cell r="DC24">
            <v>2637.9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</row>
        <row r="25">
          <cell r="B25" t="str">
            <v>SHZ14-OCBins</v>
          </cell>
          <cell r="C25" t="str">
            <v>RRSHZ</v>
          </cell>
          <cell r="D25" t="str">
            <v>CSUO-SHZ2</v>
          </cell>
          <cell r="E25" t="str">
            <v>CSU Orange</v>
          </cell>
          <cell r="F25" t="str">
            <v>Shiraz</v>
          </cell>
          <cell r="G25" t="str">
            <v>Prem</v>
          </cell>
          <cell r="H25">
            <v>0</v>
          </cell>
          <cell r="J25">
            <v>750</v>
          </cell>
          <cell r="K25">
            <v>0.02</v>
          </cell>
          <cell r="M25" t="str">
            <v>Oak flour</v>
          </cell>
          <cell r="O25" t="str">
            <v>Rhythm</v>
          </cell>
          <cell r="P25" t="str">
            <v>Fermcontrol</v>
          </cell>
          <cell r="Q25" t="str">
            <v>VP41</v>
          </cell>
          <cell r="AA25">
            <v>1</v>
          </cell>
          <cell r="AF25">
            <v>2</v>
          </cell>
          <cell r="AG25">
            <v>5</v>
          </cell>
          <cell r="AH25">
            <v>2</v>
          </cell>
          <cell r="AY25">
            <v>3100</v>
          </cell>
          <cell r="AZ25">
            <v>-3100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J25">
            <v>0</v>
          </cell>
          <cell r="BK25">
            <v>0</v>
          </cell>
          <cell r="BL25">
            <v>0</v>
          </cell>
          <cell r="BN25">
            <v>2000</v>
          </cell>
          <cell r="BO25">
            <v>0</v>
          </cell>
          <cell r="BP25">
            <v>100</v>
          </cell>
          <cell r="BQ25">
            <v>11.273732718894008</v>
          </cell>
          <cell r="BR25">
            <v>0</v>
          </cell>
          <cell r="BT25">
            <v>8.5500000000000007</v>
          </cell>
          <cell r="BU25">
            <v>0</v>
          </cell>
          <cell r="BV25">
            <v>74</v>
          </cell>
          <cell r="BW25">
            <v>80</v>
          </cell>
          <cell r="BX25">
            <v>1.1500000000000001</v>
          </cell>
          <cell r="BY25">
            <v>0</v>
          </cell>
          <cell r="BZ25">
            <v>0</v>
          </cell>
          <cell r="CA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Z25">
            <v>2952.9</v>
          </cell>
          <cell r="DA25">
            <v>0</v>
          </cell>
          <cell r="DB25">
            <v>0</v>
          </cell>
          <cell r="DC25">
            <v>2952.9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</row>
        <row r="26">
          <cell r="E26" t="str">
            <v/>
          </cell>
          <cell r="F26" t="str">
            <v/>
          </cell>
          <cell r="G26" t="str">
            <v/>
          </cell>
          <cell r="H26" t="str">
            <v/>
          </cell>
          <cell r="J26">
            <v>750</v>
          </cell>
          <cell r="K26">
            <v>0.02</v>
          </cell>
          <cell r="M26" t="str">
            <v>Oak flour</v>
          </cell>
          <cell r="O26" t="str">
            <v>Rhythm</v>
          </cell>
          <cell r="P26" t="str">
            <v>Fermcontrol</v>
          </cell>
          <cell r="Q26" t="str">
            <v>VP41</v>
          </cell>
          <cell r="AY26">
            <v>0</v>
          </cell>
          <cell r="AZ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J26">
            <v>0</v>
          </cell>
          <cell r="BK26">
            <v>0</v>
          </cell>
          <cell r="BL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11.273732718894008</v>
          </cell>
          <cell r="BR26">
            <v>0</v>
          </cell>
          <cell r="BT26">
            <v>8.5500000000000007</v>
          </cell>
          <cell r="BU26">
            <v>0</v>
          </cell>
          <cell r="BV26">
            <v>74</v>
          </cell>
          <cell r="BW26">
            <v>80</v>
          </cell>
          <cell r="BX26">
            <v>1.1500000000000001</v>
          </cell>
          <cell r="BY26">
            <v>0</v>
          </cell>
          <cell r="BZ26">
            <v>0</v>
          </cell>
          <cell r="CA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</row>
        <row r="27">
          <cell r="B27" t="str">
            <v>SHZ14-WC</v>
          </cell>
          <cell r="C27" t="str">
            <v>CRSHZ</v>
          </cell>
          <cell r="D27" t="str">
            <v>CSUW-SHZ5</v>
          </cell>
          <cell r="E27" t="str">
            <v>CSU Wagga</v>
          </cell>
          <cell r="F27" t="str">
            <v>Shiraz</v>
          </cell>
          <cell r="G27">
            <v>5</v>
          </cell>
          <cell r="H27">
            <v>4.0999999999999996</v>
          </cell>
          <cell r="I27">
            <v>4.0999999999999996</v>
          </cell>
          <cell r="J27">
            <v>750</v>
          </cell>
          <cell r="K27">
            <v>0.02</v>
          </cell>
          <cell r="L27">
            <v>4</v>
          </cell>
          <cell r="M27" t="str">
            <v>Oak flour</v>
          </cell>
          <cell r="O27" t="str">
            <v>Rhythm</v>
          </cell>
          <cell r="P27" t="str">
            <v>Fermcontrol</v>
          </cell>
          <cell r="Q27" t="str">
            <v>VP41</v>
          </cell>
          <cell r="AG27">
            <v>20</v>
          </cell>
          <cell r="AH27">
            <v>4</v>
          </cell>
          <cell r="AO27">
            <v>4</v>
          </cell>
          <cell r="AV27">
            <v>0.16</v>
          </cell>
          <cell r="AY27">
            <v>7440</v>
          </cell>
          <cell r="AZ27">
            <v>-8365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2</v>
          </cell>
          <cell r="BG27">
            <v>0</v>
          </cell>
          <cell r="BJ27">
            <v>3</v>
          </cell>
          <cell r="BK27">
            <v>3074.9999999999995</v>
          </cell>
          <cell r="BL27">
            <v>3013.4999999999995</v>
          </cell>
          <cell r="BN27">
            <v>650</v>
          </cell>
          <cell r="BO27">
            <v>0</v>
          </cell>
          <cell r="BP27">
            <v>0</v>
          </cell>
          <cell r="BQ27">
            <v>11.273732718894008</v>
          </cell>
          <cell r="BR27">
            <v>2711.2223041474654</v>
          </cell>
          <cell r="BT27">
            <v>8.5500000000000007</v>
          </cell>
          <cell r="BU27">
            <v>0</v>
          </cell>
          <cell r="BV27">
            <v>74</v>
          </cell>
          <cell r="BW27">
            <v>80</v>
          </cell>
          <cell r="BX27">
            <v>1.1500000000000001</v>
          </cell>
          <cell r="BY27">
            <v>0</v>
          </cell>
          <cell r="BZ27">
            <v>0</v>
          </cell>
          <cell r="CA27">
            <v>0</v>
          </cell>
          <cell r="CC27">
            <v>12.299999999999999</v>
          </cell>
          <cell r="CD27">
            <v>3.0749999999999997</v>
          </cell>
          <cell r="CE27">
            <v>9.2249999999999985E-2</v>
          </cell>
          <cell r="CF27">
            <v>0.36899999999999994</v>
          </cell>
          <cell r="CI27">
            <v>0</v>
          </cell>
          <cell r="CJ27">
            <v>0.61499999999999988</v>
          </cell>
          <cell r="CK27">
            <v>1.2299999999999998</v>
          </cell>
          <cell r="CL27">
            <v>30.749999999999996</v>
          </cell>
          <cell r="CM27">
            <v>0.61499999999999988</v>
          </cell>
          <cell r="CP27">
            <v>0.36161999999999994</v>
          </cell>
          <cell r="CQ27">
            <v>0</v>
          </cell>
          <cell r="CR27">
            <v>3.0134999999999996</v>
          </cell>
          <cell r="CS27">
            <v>602.69999999999993</v>
          </cell>
          <cell r="CU27">
            <v>2711.2223041474654</v>
          </cell>
          <cell r="CV27">
            <v>121.07505</v>
          </cell>
          <cell r="CW27">
            <v>179.27249999999998</v>
          </cell>
          <cell r="CX27">
            <v>1.5188039999999998</v>
          </cell>
          <cell r="CZ27">
            <v>960</v>
          </cell>
          <cell r="DA27">
            <v>10125.426402810133</v>
          </cell>
          <cell r="DB27">
            <v>2058.7753863681842</v>
          </cell>
          <cell r="DC27">
            <v>16157.290447325782</v>
          </cell>
          <cell r="DD27">
            <v>3013.4999999999995</v>
          </cell>
          <cell r="DE27">
            <v>3013.4999999999995</v>
          </cell>
          <cell r="DF27">
            <v>0</v>
          </cell>
          <cell r="DG27">
            <v>0.89969215335903963</v>
          </cell>
          <cell r="DH27">
            <v>4.0177551020408174E-2</v>
          </cell>
          <cell r="DI27">
            <v>5.9489795918367352E-2</v>
          </cell>
          <cell r="DJ27">
            <v>5.04E-4</v>
          </cell>
          <cell r="DK27">
            <v>0</v>
          </cell>
          <cell r="DL27">
            <v>0.31856645097063219</v>
          </cell>
          <cell r="DM27">
            <v>3.3600220351120407</v>
          </cell>
          <cell r="DN27">
            <v>0.68318413352187968</v>
          </cell>
          <cell r="DO27">
            <v>5.3616361199023679</v>
          </cell>
        </row>
        <row r="28">
          <cell r="E28" t="str">
            <v/>
          </cell>
          <cell r="F28" t="str">
            <v/>
          </cell>
          <cell r="G28" t="str">
            <v/>
          </cell>
          <cell r="H28" t="str">
            <v/>
          </cell>
          <cell r="J28">
            <v>750</v>
          </cell>
          <cell r="K28">
            <v>0.02</v>
          </cell>
          <cell r="M28" t="str">
            <v>Oak flour</v>
          </cell>
          <cell r="O28" t="str">
            <v>Rhythm</v>
          </cell>
          <cell r="P28" t="str">
            <v>Fermcontrol</v>
          </cell>
          <cell r="Q28" t="str">
            <v>VP41</v>
          </cell>
          <cell r="AY28">
            <v>0</v>
          </cell>
          <cell r="AZ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J28">
            <v>0</v>
          </cell>
          <cell r="BK28">
            <v>0</v>
          </cell>
          <cell r="BL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11.273732718894008</v>
          </cell>
          <cell r="BR28">
            <v>0</v>
          </cell>
          <cell r="BT28">
            <v>8.5500000000000007</v>
          </cell>
          <cell r="BU28">
            <v>0</v>
          </cell>
          <cell r="BV28">
            <v>74</v>
          </cell>
          <cell r="BW28">
            <v>80</v>
          </cell>
          <cell r="BX28">
            <v>1.1500000000000001</v>
          </cell>
          <cell r="BY28">
            <v>0</v>
          </cell>
          <cell r="BZ28">
            <v>0</v>
          </cell>
          <cell r="CA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</row>
        <row r="29">
          <cell r="B29" t="str">
            <v>SHZ14-GO</v>
          </cell>
          <cell r="C29" t="str">
            <v>CRSHZ</v>
          </cell>
          <cell r="D29" t="str">
            <v>GUOT-SHZ1</v>
          </cell>
          <cell r="E29" t="str">
            <v>Other Gundagai</v>
          </cell>
          <cell r="F29" t="str">
            <v>Shiraz</v>
          </cell>
          <cell r="G29">
            <v>0</v>
          </cell>
          <cell r="H29">
            <v>14.4</v>
          </cell>
          <cell r="I29">
            <v>14.4</v>
          </cell>
          <cell r="J29">
            <v>750</v>
          </cell>
          <cell r="K29">
            <v>0.02</v>
          </cell>
          <cell r="L29">
            <v>4</v>
          </cell>
          <cell r="M29" t="str">
            <v>Oak flour</v>
          </cell>
          <cell r="O29" t="str">
            <v>Rhythm</v>
          </cell>
          <cell r="P29" t="str">
            <v>Fermcontrol</v>
          </cell>
          <cell r="Q29" t="str">
            <v>VP41</v>
          </cell>
          <cell r="AV29">
            <v>0.16</v>
          </cell>
          <cell r="AY29">
            <v>0</v>
          </cell>
          <cell r="AZ29">
            <v>10800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J29">
            <v>1</v>
          </cell>
          <cell r="BK29">
            <v>10800</v>
          </cell>
          <cell r="BL29">
            <v>10584</v>
          </cell>
          <cell r="BN29">
            <v>700</v>
          </cell>
          <cell r="BO29">
            <v>0</v>
          </cell>
          <cell r="BP29">
            <v>100</v>
          </cell>
          <cell r="BQ29">
            <v>11.273732718894008</v>
          </cell>
          <cell r="BR29">
            <v>11682.341751152075</v>
          </cell>
          <cell r="BT29">
            <v>8.5500000000000007</v>
          </cell>
          <cell r="BU29">
            <v>0</v>
          </cell>
          <cell r="BV29">
            <v>74</v>
          </cell>
          <cell r="BW29">
            <v>80</v>
          </cell>
          <cell r="BX29">
            <v>1.1500000000000001</v>
          </cell>
          <cell r="BY29">
            <v>0</v>
          </cell>
          <cell r="BZ29">
            <v>0</v>
          </cell>
          <cell r="CA29">
            <v>0</v>
          </cell>
          <cell r="CC29">
            <v>43.2</v>
          </cell>
          <cell r="CD29">
            <v>10.8</v>
          </cell>
          <cell r="CE29">
            <v>0.32400000000000001</v>
          </cell>
          <cell r="CF29">
            <v>1.296</v>
          </cell>
          <cell r="CI29">
            <v>0</v>
          </cell>
          <cell r="CJ29">
            <v>2.1599999999999997</v>
          </cell>
          <cell r="CK29">
            <v>4.3199999999999994</v>
          </cell>
          <cell r="CL29">
            <v>108</v>
          </cell>
          <cell r="CM29">
            <v>2.1599999999999997</v>
          </cell>
          <cell r="CP29">
            <v>1.2700799999999999</v>
          </cell>
          <cell r="CQ29">
            <v>0</v>
          </cell>
          <cell r="CR29">
            <v>10.584</v>
          </cell>
          <cell r="CS29">
            <v>2116.8000000000002</v>
          </cell>
          <cell r="CU29">
            <v>11682.341751152075</v>
          </cell>
          <cell r="CV29">
            <v>425.23920000000004</v>
          </cell>
          <cell r="CW29">
            <v>629.64</v>
          </cell>
          <cell r="CX29">
            <v>5.3343359999999995</v>
          </cell>
          <cell r="CZ29">
            <v>0</v>
          </cell>
          <cell r="DA29">
            <v>11854.15773987528</v>
          </cell>
          <cell r="DB29">
            <v>7230.8208691955742</v>
          </cell>
          <cell r="DC29">
            <v>31827.533896222929</v>
          </cell>
          <cell r="DD29">
            <v>10584</v>
          </cell>
          <cell r="DE29">
            <v>10584</v>
          </cell>
          <cell r="DF29">
            <v>0</v>
          </cell>
          <cell r="DG29">
            <v>1.1037737860121009</v>
          </cell>
          <cell r="DH29">
            <v>4.0177551020408167E-2</v>
          </cell>
          <cell r="DI29">
            <v>5.9489795918367346E-2</v>
          </cell>
          <cell r="DJ29">
            <v>5.04E-4</v>
          </cell>
          <cell r="DK29">
            <v>0</v>
          </cell>
          <cell r="DL29">
            <v>0</v>
          </cell>
          <cell r="DM29">
            <v>1.1200073450373469</v>
          </cell>
          <cell r="DN29">
            <v>0.68318413352187968</v>
          </cell>
          <cell r="DO29">
            <v>3.007136611510103</v>
          </cell>
        </row>
        <row r="30">
          <cell r="B30" t="str">
            <v>SHZ14-OO</v>
          </cell>
          <cell r="C30" t="str">
            <v>CRSHZ</v>
          </cell>
          <cell r="D30" t="str">
            <v>OROT-SHZ1</v>
          </cell>
          <cell r="E30" t="str">
            <v>Other Orange</v>
          </cell>
          <cell r="F30" t="str">
            <v>Shiraz</v>
          </cell>
          <cell r="G30">
            <v>0</v>
          </cell>
          <cell r="H30">
            <v>0</v>
          </cell>
          <cell r="J30">
            <v>750</v>
          </cell>
          <cell r="K30">
            <v>0.02</v>
          </cell>
          <cell r="M30" t="str">
            <v>Oak flour</v>
          </cell>
          <cell r="O30" t="str">
            <v>Rhythm</v>
          </cell>
          <cell r="P30" t="str">
            <v>Fermcontrol</v>
          </cell>
          <cell r="Q30" t="str">
            <v>VP41</v>
          </cell>
          <cell r="AY30">
            <v>0</v>
          </cell>
          <cell r="AZ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J30">
            <v>0</v>
          </cell>
          <cell r="BK30">
            <v>0</v>
          </cell>
          <cell r="BL30">
            <v>0</v>
          </cell>
          <cell r="BN30">
            <v>1000</v>
          </cell>
          <cell r="BO30">
            <v>0</v>
          </cell>
          <cell r="BP30">
            <v>100</v>
          </cell>
          <cell r="BQ30">
            <v>11.273732718894008</v>
          </cell>
          <cell r="BR30">
            <v>0</v>
          </cell>
          <cell r="BT30">
            <v>8.5500000000000007</v>
          </cell>
          <cell r="BU30">
            <v>0</v>
          </cell>
          <cell r="BV30">
            <v>74</v>
          </cell>
          <cell r="BW30">
            <v>80</v>
          </cell>
          <cell r="BX30">
            <v>1.1500000000000001</v>
          </cell>
          <cell r="BY30">
            <v>0</v>
          </cell>
          <cell r="BZ30">
            <v>0</v>
          </cell>
          <cell r="CA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U30">
            <v>0</v>
          </cell>
          <cell r="CV30">
            <v>0</v>
          </cell>
          <cell r="CW30">
            <v>0</v>
          </cell>
          <cell r="CX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H30">
            <v>0</v>
          </cell>
          <cell r="DI30">
            <v>0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</row>
        <row r="31">
          <cell r="E31" t="str">
            <v/>
          </cell>
          <cell r="F31" t="str">
            <v/>
          </cell>
          <cell r="G31" t="str">
            <v/>
          </cell>
          <cell r="H31" t="str">
            <v/>
          </cell>
          <cell r="J31">
            <v>750</v>
          </cell>
          <cell r="K31">
            <v>0.02</v>
          </cell>
          <cell r="M31" t="str">
            <v>Oak flour</v>
          </cell>
          <cell r="O31" t="str">
            <v>Rhythm</v>
          </cell>
          <cell r="P31" t="str">
            <v>Fermcontrol</v>
          </cell>
          <cell r="Q31" t="str">
            <v>VP41</v>
          </cell>
          <cell r="AY31">
            <v>0</v>
          </cell>
          <cell r="AZ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J31">
            <v>0</v>
          </cell>
          <cell r="BK31">
            <v>0</v>
          </cell>
          <cell r="BL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11.273732718894008</v>
          </cell>
          <cell r="BR31">
            <v>0</v>
          </cell>
          <cell r="BT31">
            <v>8.5500000000000007</v>
          </cell>
          <cell r="BU31">
            <v>0</v>
          </cell>
          <cell r="BV31">
            <v>74</v>
          </cell>
          <cell r="BW31">
            <v>80</v>
          </cell>
          <cell r="BX31">
            <v>1.1500000000000001</v>
          </cell>
          <cell r="BY31">
            <v>0</v>
          </cell>
          <cell r="BZ31">
            <v>0</v>
          </cell>
          <cell r="CA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</row>
        <row r="32">
          <cell r="E32" t="str">
            <v/>
          </cell>
          <cell r="F32" t="str">
            <v/>
          </cell>
          <cell r="G32" t="str">
            <v/>
          </cell>
          <cell r="H32" t="str">
            <v/>
          </cell>
          <cell r="J32">
            <v>750</v>
          </cell>
          <cell r="K32">
            <v>0.02</v>
          </cell>
          <cell r="M32" t="str">
            <v>Oak flour</v>
          </cell>
          <cell r="O32" t="str">
            <v>Rhythm</v>
          </cell>
          <cell r="P32" t="str">
            <v>Fermcontrol</v>
          </cell>
          <cell r="Q32" t="str">
            <v>VP41</v>
          </cell>
          <cell r="AY32">
            <v>0</v>
          </cell>
          <cell r="AZ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J32">
            <v>0</v>
          </cell>
          <cell r="BK32">
            <v>0</v>
          </cell>
          <cell r="BL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11.273732718894008</v>
          </cell>
          <cell r="BR32">
            <v>0</v>
          </cell>
          <cell r="BT32">
            <v>8.5500000000000007</v>
          </cell>
          <cell r="BU32">
            <v>0</v>
          </cell>
          <cell r="BV32">
            <v>74</v>
          </cell>
          <cell r="BW32">
            <v>80</v>
          </cell>
          <cell r="BX32">
            <v>1.1500000000000001</v>
          </cell>
          <cell r="BY32">
            <v>0</v>
          </cell>
          <cell r="BZ32">
            <v>0</v>
          </cell>
          <cell r="CA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U32">
            <v>0</v>
          </cell>
          <cell r="CV32">
            <v>0</v>
          </cell>
          <cell r="CW32">
            <v>0</v>
          </cell>
          <cell r="CX32">
            <v>0</v>
          </cell>
          <cell r="CZ32">
            <v>0</v>
          </cell>
          <cell r="DA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  <cell r="DG32">
            <v>0</v>
          </cell>
          <cell r="DH32">
            <v>0</v>
          </cell>
          <cell r="DI32">
            <v>0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0</v>
          </cell>
        </row>
        <row r="33">
          <cell r="E33" t="str">
            <v/>
          </cell>
          <cell r="F33" t="str">
            <v/>
          </cell>
          <cell r="G33" t="str">
            <v/>
          </cell>
          <cell r="H33" t="str">
            <v/>
          </cell>
          <cell r="J33">
            <v>750</v>
          </cell>
          <cell r="K33">
            <v>0.02</v>
          </cell>
          <cell r="M33" t="str">
            <v>Oak flour</v>
          </cell>
          <cell r="O33" t="str">
            <v>Rhythm</v>
          </cell>
          <cell r="P33" t="str">
            <v>Fermcontrol</v>
          </cell>
          <cell r="Q33" t="str">
            <v>VP41</v>
          </cell>
          <cell r="AY33">
            <v>0</v>
          </cell>
          <cell r="AZ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J33">
            <v>0</v>
          </cell>
          <cell r="BK33">
            <v>0</v>
          </cell>
          <cell r="BL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11.273732718894008</v>
          </cell>
          <cell r="BR33">
            <v>0</v>
          </cell>
          <cell r="BT33">
            <v>8.5500000000000007</v>
          </cell>
          <cell r="BU33">
            <v>0</v>
          </cell>
          <cell r="BV33">
            <v>74</v>
          </cell>
          <cell r="BW33">
            <v>80</v>
          </cell>
          <cell r="BX33">
            <v>1.1500000000000001</v>
          </cell>
          <cell r="BY33">
            <v>0</v>
          </cell>
          <cell r="BZ33">
            <v>0</v>
          </cell>
          <cell r="CA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H33">
            <v>0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O33">
            <v>0</v>
          </cell>
        </row>
        <row r="34">
          <cell r="B34" t="str">
            <v>SHZ14-WC-Fizz</v>
          </cell>
          <cell r="C34" t="str">
            <v>RRFIZ</v>
          </cell>
          <cell r="D34" t="str">
            <v>CSUW-SHZ5</v>
          </cell>
          <cell r="E34" t="str">
            <v>CSU Wagga</v>
          </cell>
          <cell r="F34" t="str">
            <v>Shiraz</v>
          </cell>
          <cell r="G34">
            <v>5</v>
          </cell>
          <cell r="H34">
            <v>4.0999999999999996</v>
          </cell>
          <cell r="J34">
            <v>750</v>
          </cell>
          <cell r="K34">
            <v>0.02</v>
          </cell>
          <cell r="L34">
            <v>4</v>
          </cell>
          <cell r="M34" t="str">
            <v>Oak flour</v>
          </cell>
          <cell r="O34" t="str">
            <v>Rhythm</v>
          </cell>
          <cell r="P34" t="str">
            <v>Fermcontrol</v>
          </cell>
          <cell r="Q34" t="str">
            <v>VP41</v>
          </cell>
          <cell r="AV34">
            <v>0.16</v>
          </cell>
          <cell r="AY34">
            <v>0</v>
          </cell>
          <cell r="AZ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J34">
            <v>0</v>
          </cell>
          <cell r="BK34">
            <v>0</v>
          </cell>
          <cell r="BL34">
            <v>0</v>
          </cell>
          <cell r="BN34">
            <v>650</v>
          </cell>
          <cell r="BO34">
            <v>0</v>
          </cell>
          <cell r="BP34">
            <v>0</v>
          </cell>
          <cell r="BQ34">
            <v>11.273732718894008</v>
          </cell>
          <cell r="BR34">
            <v>0</v>
          </cell>
          <cell r="BT34">
            <v>8.5500000000000007</v>
          </cell>
          <cell r="BU34">
            <v>0</v>
          </cell>
          <cell r="BV34">
            <v>74</v>
          </cell>
          <cell r="BW34">
            <v>80</v>
          </cell>
          <cell r="BX34">
            <v>1.1500000000000001</v>
          </cell>
          <cell r="BY34">
            <v>0</v>
          </cell>
          <cell r="BZ34">
            <v>0</v>
          </cell>
          <cell r="CA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O34">
            <v>0</v>
          </cell>
        </row>
        <row r="35">
          <cell r="E35" t="str">
            <v/>
          </cell>
          <cell r="F35" t="str">
            <v/>
          </cell>
          <cell r="G35" t="str">
            <v/>
          </cell>
          <cell r="H35" t="str">
            <v/>
          </cell>
          <cell r="J35">
            <v>750</v>
          </cell>
          <cell r="K35">
            <v>0.02</v>
          </cell>
          <cell r="M35" t="str">
            <v>Oak flour</v>
          </cell>
          <cell r="O35" t="str">
            <v>Rhythm</v>
          </cell>
          <cell r="P35" t="str">
            <v>Fermcontrol</v>
          </cell>
          <cell r="Q35" t="str">
            <v>VP41</v>
          </cell>
          <cell r="AY35">
            <v>0</v>
          </cell>
          <cell r="AZ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J35">
            <v>0</v>
          </cell>
          <cell r="BK35">
            <v>0</v>
          </cell>
          <cell r="BL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11.273732718894008</v>
          </cell>
          <cell r="BR35">
            <v>0</v>
          </cell>
          <cell r="BT35">
            <v>8.5500000000000007</v>
          </cell>
          <cell r="BU35">
            <v>0</v>
          </cell>
          <cell r="BV35">
            <v>74</v>
          </cell>
          <cell r="BW35">
            <v>80</v>
          </cell>
          <cell r="BX35">
            <v>1.1500000000000001</v>
          </cell>
          <cell r="BY35">
            <v>0</v>
          </cell>
          <cell r="BZ35">
            <v>0</v>
          </cell>
          <cell r="CA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U35">
            <v>0</v>
          </cell>
          <cell r="CV35">
            <v>0</v>
          </cell>
          <cell r="CW35">
            <v>0</v>
          </cell>
          <cell r="CX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  <cell r="DG35">
            <v>0</v>
          </cell>
          <cell r="DH35">
            <v>0</v>
          </cell>
          <cell r="DI35">
            <v>0</v>
          </cell>
          <cell r="DJ35">
            <v>0</v>
          </cell>
          <cell r="DK35">
            <v>0</v>
          </cell>
          <cell r="DL35">
            <v>0</v>
          </cell>
          <cell r="DM35">
            <v>0</v>
          </cell>
          <cell r="DN35">
            <v>0</v>
          </cell>
          <cell r="DO35">
            <v>0</v>
          </cell>
        </row>
        <row r="36">
          <cell r="B36" t="str">
            <v>TEM14-Lyons</v>
          </cell>
          <cell r="C36" t="str">
            <v>NRTEM</v>
          </cell>
          <cell r="D36" t="str">
            <v>LYON-TEM1</v>
          </cell>
          <cell r="E36" t="str">
            <v>David Lyons</v>
          </cell>
          <cell r="F36" t="str">
            <v>Tempranillo</v>
          </cell>
          <cell r="G36">
            <v>0</v>
          </cell>
          <cell r="H36">
            <v>0</v>
          </cell>
          <cell r="J36">
            <v>750</v>
          </cell>
          <cell r="K36">
            <v>0.02</v>
          </cell>
          <cell r="L36">
            <v>2</v>
          </cell>
          <cell r="M36" t="str">
            <v>Oak flour</v>
          </cell>
          <cell r="O36" t="str">
            <v>Rhythm</v>
          </cell>
          <cell r="P36" t="str">
            <v>Fermcontrol</v>
          </cell>
          <cell r="Q36" t="str">
            <v>VP41</v>
          </cell>
          <cell r="AY36">
            <v>0</v>
          </cell>
          <cell r="AZ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J36">
            <v>0</v>
          </cell>
          <cell r="BK36">
            <v>0</v>
          </cell>
          <cell r="BL36">
            <v>0</v>
          </cell>
          <cell r="BN36">
            <v>1500</v>
          </cell>
          <cell r="BO36">
            <v>138.95015438906043</v>
          </cell>
          <cell r="BP36">
            <v>100</v>
          </cell>
          <cell r="BQ36">
            <v>11.273732718894008</v>
          </cell>
          <cell r="BR36">
            <v>0</v>
          </cell>
          <cell r="BT36">
            <v>8.5500000000000007</v>
          </cell>
          <cell r="BU36">
            <v>0</v>
          </cell>
          <cell r="BV36">
            <v>74</v>
          </cell>
          <cell r="BW36">
            <v>80</v>
          </cell>
          <cell r="BX36">
            <v>1.1500000000000001</v>
          </cell>
          <cell r="BY36">
            <v>0</v>
          </cell>
          <cell r="BZ36">
            <v>0</v>
          </cell>
          <cell r="CA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>
            <v>0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O36">
            <v>0</v>
          </cell>
        </row>
        <row r="37">
          <cell r="B37" t="str">
            <v>TEM14-Orange</v>
          </cell>
          <cell r="C37" t="str">
            <v>NRTEM</v>
          </cell>
          <cell r="D37" t="str">
            <v>OROT-TEM1</v>
          </cell>
          <cell r="E37" t="str">
            <v>Other Orange</v>
          </cell>
          <cell r="F37" t="str">
            <v>Tempranillo</v>
          </cell>
          <cell r="G37">
            <v>0</v>
          </cell>
          <cell r="H37">
            <v>0</v>
          </cell>
          <cell r="J37">
            <v>750</v>
          </cell>
          <cell r="K37">
            <v>0.02</v>
          </cell>
          <cell r="L37">
            <v>2</v>
          </cell>
          <cell r="M37" t="str">
            <v>Oak flour</v>
          </cell>
          <cell r="O37" t="str">
            <v>Rhythm</v>
          </cell>
          <cell r="P37" t="str">
            <v>Fermcontrol</v>
          </cell>
          <cell r="Q37" t="str">
            <v>VP41</v>
          </cell>
          <cell r="AV37">
            <v>0.16</v>
          </cell>
          <cell r="AY37">
            <v>0</v>
          </cell>
          <cell r="AZ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J37">
            <v>0</v>
          </cell>
          <cell r="BK37">
            <v>0</v>
          </cell>
          <cell r="BL37">
            <v>0</v>
          </cell>
          <cell r="BN37">
            <v>1500</v>
          </cell>
          <cell r="BO37">
            <v>0</v>
          </cell>
          <cell r="BP37">
            <v>100</v>
          </cell>
          <cell r="BQ37">
            <v>11.273732718894008</v>
          </cell>
          <cell r="BR37">
            <v>0</v>
          </cell>
          <cell r="BT37">
            <v>8.5500000000000007</v>
          </cell>
          <cell r="BU37">
            <v>0</v>
          </cell>
          <cell r="BV37">
            <v>74</v>
          </cell>
          <cell r="BW37">
            <v>80</v>
          </cell>
          <cell r="BX37">
            <v>1.1500000000000001</v>
          </cell>
          <cell r="BY37">
            <v>0</v>
          </cell>
          <cell r="BZ37">
            <v>0</v>
          </cell>
          <cell r="CA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U37">
            <v>0</v>
          </cell>
          <cell r="CV37">
            <v>0</v>
          </cell>
          <cell r="CW37">
            <v>0</v>
          </cell>
          <cell r="CX37">
            <v>0</v>
          </cell>
          <cell r="CZ37">
            <v>0</v>
          </cell>
          <cell r="DA37">
            <v>0</v>
          </cell>
          <cell r="DB37">
            <v>0</v>
          </cell>
          <cell r="DC37">
            <v>0</v>
          </cell>
          <cell r="DD37">
            <v>0</v>
          </cell>
          <cell r="DE37">
            <v>0</v>
          </cell>
          <cell r="DF37">
            <v>0</v>
          </cell>
          <cell r="DG37">
            <v>0</v>
          </cell>
          <cell r="DH37">
            <v>0</v>
          </cell>
          <cell r="DI37">
            <v>0</v>
          </cell>
          <cell r="DJ37">
            <v>0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O37">
            <v>0</v>
          </cell>
        </row>
        <row r="38">
          <cell r="E38" t="str">
            <v/>
          </cell>
          <cell r="F38" t="str">
            <v/>
          </cell>
          <cell r="G38" t="str">
            <v/>
          </cell>
          <cell r="H38" t="str">
            <v/>
          </cell>
          <cell r="J38">
            <v>750</v>
          </cell>
          <cell r="K38">
            <v>0.02</v>
          </cell>
          <cell r="M38" t="str">
            <v>Oak flour</v>
          </cell>
          <cell r="O38" t="str">
            <v>Rhythm</v>
          </cell>
          <cell r="P38" t="str">
            <v>Fermcontrol</v>
          </cell>
          <cell r="Q38" t="str">
            <v>VP41</v>
          </cell>
          <cell r="AY38">
            <v>0</v>
          </cell>
          <cell r="AZ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J38">
            <v>0</v>
          </cell>
          <cell r="BK38">
            <v>0</v>
          </cell>
          <cell r="BL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11.273732718894008</v>
          </cell>
          <cell r="BR38">
            <v>0</v>
          </cell>
          <cell r="BT38">
            <v>8.5500000000000007</v>
          </cell>
          <cell r="BU38">
            <v>0</v>
          </cell>
          <cell r="BV38">
            <v>74</v>
          </cell>
          <cell r="BW38">
            <v>80</v>
          </cell>
          <cell r="BX38">
            <v>1.1500000000000001</v>
          </cell>
          <cell r="BY38">
            <v>0</v>
          </cell>
          <cell r="BZ38">
            <v>0</v>
          </cell>
          <cell r="CA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  <cell r="DG38">
            <v>0</v>
          </cell>
          <cell r="DH38">
            <v>0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O38">
            <v>0</v>
          </cell>
        </row>
        <row r="39">
          <cell r="E39" t="str">
            <v/>
          </cell>
          <cell r="F39" t="str">
            <v/>
          </cell>
          <cell r="G39" t="str">
            <v/>
          </cell>
          <cell r="H39" t="str">
            <v/>
          </cell>
          <cell r="J39">
            <v>750</v>
          </cell>
          <cell r="K39">
            <v>0.02</v>
          </cell>
          <cell r="P39" t="str">
            <v>Fermcontrol</v>
          </cell>
          <cell r="Q39" t="str">
            <v>VP41</v>
          </cell>
          <cell r="AY39">
            <v>0</v>
          </cell>
          <cell r="AZ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J39">
            <v>0</v>
          </cell>
          <cell r="BK39">
            <v>0</v>
          </cell>
          <cell r="BL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11.273732718894008</v>
          </cell>
          <cell r="BR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80</v>
          </cell>
          <cell r="BX39">
            <v>1.1500000000000001</v>
          </cell>
          <cell r="BY39">
            <v>0</v>
          </cell>
          <cell r="BZ39">
            <v>0</v>
          </cell>
          <cell r="CA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O39">
            <v>0</v>
          </cell>
        </row>
        <row r="40">
          <cell r="B40" t="str">
            <v>MUS</v>
          </cell>
          <cell r="C40" t="str">
            <v>SFMUS</v>
          </cell>
          <cell r="D40" t="str">
            <v>CSUW-MUS5</v>
          </cell>
          <cell r="E40" t="str">
            <v>CSU Wagga</v>
          </cell>
          <cell r="F40" t="str">
            <v>Brown Muscat</v>
          </cell>
          <cell r="G40">
            <v>5</v>
          </cell>
          <cell r="H40">
            <v>1.7</v>
          </cell>
          <cell r="J40">
            <v>750</v>
          </cell>
          <cell r="K40">
            <v>0.02</v>
          </cell>
          <cell r="P40" t="str">
            <v>Fermcontrol</v>
          </cell>
          <cell r="T40" t="str">
            <v>SVR</v>
          </cell>
          <cell r="AY40">
            <v>0</v>
          </cell>
          <cell r="AZ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J40">
            <v>0</v>
          </cell>
          <cell r="BK40">
            <v>0</v>
          </cell>
          <cell r="BL40">
            <v>0</v>
          </cell>
          <cell r="BN40">
            <v>500</v>
          </cell>
          <cell r="BO40">
            <v>0</v>
          </cell>
          <cell r="BP40">
            <v>0</v>
          </cell>
          <cell r="BQ40">
            <v>11.273732718894008</v>
          </cell>
          <cell r="BR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80</v>
          </cell>
          <cell r="BX40">
            <v>0</v>
          </cell>
          <cell r="BY40">
            <v>0</v>
          </cell>
          <cell r="BZ40">
            <v>0</v>
          </cell>
          <cell r="CA40">
            <v>2.5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Z40">
            <v>0</v>
          </cell>
          <cell r="DA40">
            <v>0</v>
          </cell>
          <cell r="DB40">
            <v>0</v>
          </cell>
          <cell r="DC40">
            <v>0</v>
          </cell>
          <cell r="DD40">
            <v>0</v>
          </cell>
          <cell r="DE40">
            <v>0</v>
          </cell>
          <cell r="DF40">
            <v>0</v>
          </cell>
          <cell r="DG40">
            <v>0</v>
          </cell>
          <cell r="DH40">
            <v>0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>
            <v>0</v>
          </cell>
          <cell r="DO40">
            <v>0</v>
          </cell>
        </row>
        <row r="41">
          <cell r="E41" t="str">
            <v/>
          </cell>
          <cell r="F41" t="str">
            <v/>
          </cell>
          <cell r="G41" t="str">
            <v/>
          </cell>
          <cell r="H41" t="str">
            <v/>
          </cell>
          <cell r="J41">
            <v>750</v>
          </cell>
          <cell r="K41">
            <v>0.02</v>
          </cell>
          <cell r="P41" t="str">
            <v>Fermcontrol</v>
          </cell>
          <cell r="AY41">
            <v>0</v>
          </cell>
          <cell r="AZ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J41">
            <v>0</v>
          </cell>
          <cell r="BK41">
            <v>0</v>
          </cell>
          <cell r="BL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11.273732718894008</v>
          </cell>
          <cell r="BR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80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0</v>
          </cell>
          <cell r="DH41">
            <v>0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0</v>
          </cell>
          <cell r="DO41">
            <v>0</v>
          </cell>
        </row>
        <row r="42">
          <cell r="B42" t="str">
            <v>POR</v>
          </cell>
          <cell r="C42" t="str">
            <v>SFPOR</v>
          </cell>
          <cell r="D42" t="str">
            <v>WGWG-TOU1</v>
          </cell>
          <cell r="E42" t="str">
            <v>WW Wines</v>
          </cell>
          <cell r="F42" t="str">
            <v>Touriga</v>
          </cell>
          <cell r="G42">
            <v>0</v>
          </cell>
          <cell r="H42">
            <v>0</v>
          </cell>
          <cell r="J42">
            <v>750</v>
          </cell>
          <cell r="K42">
            <v>0.02</v>
          </cell>
          <cell r="P42" t="str">
            <v>Fermcontrol</v>
          </cell>
          <cell r="T42" t="str">
            <v>Brandy</v>
          </cell>
          <cell r="AY42">
            <v>0</v>
          </cell>
          <cell r="AZ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J42">
            <v>0</v>
          </cell>
          <cell r="BK42">
            <v>0</v>
          </cell>
          <cell r="BL42">
            <v>0</v>
          </cell>
          <cell r="BN42">
            <v>1500</v>
          </cell>
          <cell r="BO42">
            <v>0</v>
          </cell>
          <cell r="BP42">
            <v>0</v>
          </cell>
          <cell r="BQ42">
            <v>11.273732718894008</v>
          </cell>
          <cell r="BR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80</v>
          </cell>
          <cell r="BX42">
            <v>0</v>
          </cell>
          <cell r="BY42">
            <v>0</v>
          </cell>
          <cell r="BZ42">
            <v>0</v>
          </cell>
          <cell r="CA42">
            <v>2.5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U42">
            <v>0</v>
          </cell>
          <cell r="CV42">
            <v>0</v>
          </cell>
          <cell r="CW42">
            <v>0</v>
          </cell>
          <cell r="CX42">
            <v>0</v>
          </cell>
          <cell r="CZ42">
            <v>0</v>
          </cell>
          <cell r="DA42">
            <v>0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0</v>
          </cell>
          <cell r="DG42">
            <v>0</v>
          </cell>
          <cell r="DH42">
            <v>0</v>
          </cell>
          <cell r="DI42">
            <v>0</v>
          </cell>
          <cell r="DJ42">
            <v>0</v>
          </cell>
          <cell r="DK42">
            <v>0</v>
          </cell>
          <cell r="DL42">
            <v>0</v>
          </cell>
          <cell r="DM42">
            <v>0</v>
          </cell>
          <cell r="DN42">
            <v>0</v>
          </cell>
          <cell r="DO42">
            <v>0</v>
          </cell>
        </row>
        <row r="43">
          <cell r="B43" t="str">
            <v>TOU14-WW</v>
          </cell>
          <cell r="C43" t="str">
            <v>NRTOU</v>
          </cell>
          <cell r="D43" t="str">
            <v>WGWG-TOU1</v>
          </cell>
          <cell r="E43" t="str">
            <v>WW Wines</v>
          </cell>
          <cell r="F43" t="str">
            <v>Touriga</v>
          </cell>
          <cell r="G43">
            <v>0</v>
          </cell>
          <cell r="H43">
            <v>0</v>
          </cell>
          <cell r="J43">
            <v>750</v>
          </cell>
          <cell r="K43">
            <v>0.02</v>
          </cell>
          <cell r="P43" t="str">
            <v>Fermcontrol</v>
          </cell>
          <cell r="Q43" t="str">
            <v>VP41</v>
          </cell>
          <cell r="AY43">
            <v>0</v>
          </cell>
          <cell r="AZ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J43">
            <v>0</v>
          </cell>
          <cell r="BK43">
            <v>0</v>
          </cell>
          <cell r="BL43">
            <v>0</v>
          </cell>
          <cell r="BN43">
            <v>1500</v>
          </cell>
          <cell r="BO43">
            <v>0</v>
          </cell>
          <cell r="BP43">
            <v>0</v>
          </cell>
          <cell r="BQ43">
            <v>11.273732718894008</v>
          </cell>
          <cell r="BR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80</v>
          </cell>
          <cell r="BX43">
            <v>1.1500000000000001</v>
          </cell>
          <cell r="BY43">
            <v>0</v>
          </cell>
          <cell r="BZ43">
            <v>0</v>
          </cell>
          <cell r="CA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Z43">
            <v>0</v>
          </cell>
          <cell r="DA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  <cell r="DG43">
            <v>0</v>
          </cell>
          <cell r="DH43">
            <v>0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O43">
            <v>0</v>
          </cell>
        </row>
        <row r="44">
          <cell r="E44" t="str">
            <v/>
          </cell>
          <cell r="F44" t="str">
            <v/>
          </cell>
          <cell r="G44" t="str">
            <v/>
          </cell>
          <cell r="H44" t="str">
            <v/>
          </cell>
          <cell r="J44">
            <v>750</v>
          </cell>
          <cell r="K44">
            <v>0.02</v>
          </cell>
          <cell r="P44" t="str">
            <v>Fermcontrol</v>
          </cell>
          <cell r="Q44" t="str">
            <v>VP41</v>
          </cell>
          <cell r="AY44">
            <v>0</v>
          </cell>
          <cell r="AZ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J44">
            <v>0</v>
          </cell>
          <cell r="BK44">
            <v>0</v>
          </cell>
          <cell r="BL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11.273732718894008</v>
          </cell>
          <cell r="BR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80</v>
          </cell>
          <cell r="BX44">
            <v>1.1500000000000001</v>
          </cell>
          <cell r="BY44">
            <v>0</v>
          </cell>
          <cell r="BZ44">
            <v>0</v>
          </cell>
          <cell r="CA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>
            <v>0</v>
          </cell>
          <cell r="DI44">
            <v>0</v>
          </cell>
          <cell r="DJ44">
            <v>0</v>
          </cell>
          <cell r="DK44">
            <v>0</v>
          </cell>
          <cell r="DL44">
            <v>0</v>
          </cell>
          <cell r="DM44">
            <v>0</v>
          </cell>
          <cell r="DN44">
            <v>0</v>
          </cell>
          <cell r="DO44">
            <v>0</v>
          </cell>
        </row>
        <row r="46">
          <cell r="BK46">
            <v>16650</v>
          </cell>
          <cell r="BL46">
            <v>16317</v>
          </cell>
          <cell r="DP46">
            <v>22454.189964659854</v>
          </cell>
        </row>
      </sheetData>
      <sheetData sheetId="12">
        <row r="47">
          <cell r="U47">
            <v>107685.5</v>
          </cell>
        </row>
        <row r="55">
          <cell r="T55">
            <v>0</v>
          </cell>
        </row>
        <row r="58">
          <cell r="B58" t="str">
            <v>BatchCode</v>
          </cell>
          <cell r="D58" t="str">
            <v>Volume</v>
          </cell>
          <cell r="E58" t="str">
            <v>Price</v>
          </cell>
          <cell r="F58" t="str">
            <v>Volume Used</v>
          </cell>
          <cell r="G58" t="str">
            <v>Available</v>
          </cell>
          <cell r="H58" t="str">
            <v>Comment</v>
          </cell>
        </row>
        <row r="59">
          <cell r="B59" t="str">
            <v>CAS13-OCBins</v>
          </cell>
          <cell r="D59">
            <v>930</v>
          </cell>
          <cell r="E59">
            <v>8.64</v>
          </cell>
          <cell r="F59">
            <v>930</v>
          </cell>
          <cell r="G59">
            <v>0</v>
          </cell>
          <cell r="T59">
            <v>8.64</v>
          </cell>
        </row>
        <row r="60">
          <cell r="B60" t="str">
            <v>MLT13-OC</v>
          </cell>
          <cell r="D60">
            <v>5030</v>
          </cell>
          <cell r="E60">
            <v>6.18</v>
          </cell>
          <cell r="F60">
            <v>5030</v>
          </cell>
          <cell r="G60">
            <v>0</v>
          </cell>
          <cell r="T60">
            <v>6.18</v>
          </cell>
        </row>
        <row r="61">
          <cell r="B61" t="str">
            <v>MLT13-OO</v>
          </cell>
          <cell r="D61">
            <v>4990</v>
          </cell>
          <cell r="E61">
            <v>2.35</v>
          </cell>
          <cell r="F61">
            <v>4990</v>
          </cell>
          <cell r="G61">
            <v>0</v>
          </cell>
          <cell r="T61">
            <v>2.35</v>
          </cell>
        </row>
        <row r="62">
          <cell r="B62" t="str">
            <v>CAS13-GO</v>
          </cell>
          <cell r="D62">
            <v>8480</v>
          </cell>
          <cell r="E62">
            <v>4.58</v>
          </cell>
          <cell r="F62">
            <v>8480</v>
          </cell>
          <cell r="G62">
            <v>0</v>
          </cell>
          <cell r="T62">
            <v>4.58</v>
          </cell>
        </row>
        <row r="63">
          <cell r="F63">
            <v>0</v>
          </cell>
          <cell r="G63">
            <v>0</v>
          </cell>
          <cell r="T63">
            <v>0</v>
          </cell>
        </row>
        <row r="64">
          <cell r="F64">
            <v>0</v>
          </cell>
          <cell r="G64">
            <v>0</v>
          </cell>
          <cell r="T64">
            <v>0</v>
          </cell>
        </row>
        <row r="65">
          <cell r="F65">
            <v>0</v>
          </cell>
          <cell r="G65">
            <v>0</v>
          </cell>
          <cell r="T65">
            <v>0</v>
          </cell>
        </row>
        <row r="66">
          <cell r="F66">
            <v>0</v>
          </cell>
          <cell r="G66">
            <v>0</v>
          </cell>
          <cell r="T66">
            <v>0</v>
          </cell>
        </row>
        <row r="67">
          <cell r="F67">
            <v>0</v>
          </cell>
          <cell r="G67">
            <v>0</v>
          </cell>
          <cell r="T67">
            <v>0</v>
          </cell>
        </row>
        <row r="68">
          <cell r="F68">
            <v>0</v>
          </cell>
          <cell r="G68">
            <v>0</v>
          </cell>
          <cell r="T68">
            <v>0</v>
          </cell>
        </row>
        <row r="69">
          <cell r="F69">
            <v>0</v>
          </cell>
          <cell r="G69">
            <v>0</v>
          </cell>
          <cell r="T69">
            <v>0</v>
          </cell>
        </row>
        <row r="70">
          <cell r="F70">
            <v>0</v>
          </cell>
          <cell r="G70">
            <v>0</v>
          </cell>
          <cell r="T70">
            <v>0</v>
          </cell>
        </row>
        <row r="71">
          <cell r="F71">
            <v>0</v>
          </cell>
          <cell r="G71">
            <v>0</v>
          </cell>
          <cell r="T71">
            <v>0</v>
          </cell>
        </row>
        <row r="72">
          <cell r="F72">
            <v>0</v>
          </cell>
          <cell r="G72">
            <v>0</v>
          </cell>
          <cell r="T72">
            <v>0</v>
          </cell>
        </row>
        <row r="73">
          <cell r="F73">
            <v>0</v>
          </cell>
          <cell r="G73">
            <v>0</v>
          </cell>
          <cell r="T73">
            <v>0</v>
          </cell>
        </row>
        <row r="74">
          <cell r="F74">
            <v>0</v>
          </cell>
          <cell r="G74">
            <v>0</v>
          </cell>
          <cell r="T74">
            <v>0</v>
          </cell>
        </row>
        <row r="75">
          <cell r="F75">
            <v>0</v>
          </cell>
          <cell r="G75">
            <v>0</v>
          </cell>
          <cell r="T75">
            <v>0</v>
          </cell>
        </row>
        <row r="76">
          <cell r="F76">
            <v>0</v>
          </cell>
          <cell r="G76">
            <v>0</v>
          </cell>
          <cell r="T76">
            <v>0</v>
          </cell>
        </row>
        <row r="77">
          <cell r="F77">
            <v>0</v>
          </cell>
          <cell r="G77">
            <v>0</v>
          </cell>
          <cell r="T77">
            <v>0</v>
          </cell>
        </row>
        <row r="78">
          <cell r="F78">
            <v>0</v>
          </cell>
          <cell r="G78">
            <v>0</v>
          </cell>
          <cell r="T78">
            <v>0</v>
          </cell>
        </row>
        <row r="79">
          <cell r="F79">
            <v>0</v>
          </cell>
          <cell r="G79">
            <v>0</v>
          </cell>
          <cell r="T79">
            <v>0</v>
          </cell>
        </row>
        <row r="80">
          <cell r="F80">
            <v>0</v>
          </cell>
          <cell r="G80">
            <v>0</v>
          </cell>
          <cell r="T80">
            <v>0</v>
          </cell>
        </row>
        <row r="81">
          <cell r="F81">
            <v>0</v>
          </cell>
          <cell r="G81">
            <v>0</v>
          </cell>
          <cell r="T81">
            <v>0</v>
          </cell>
        </row>
        <row r="82">
          <cell r="F82">
            <v>0</v>
          </cell>
          <cell r="G82">
            <v>0</v>
          </cell>
          <cell r="T82">
            <v>0</v>
          </cell>
        </row>
        <row r="83">
          <cell r="F83">
            <v>0</v>
          </cell>
          <cell r="G83">
            <v>0</v>
          </cell>
          <cell r="T83">
            <v>0</v>
          </cell>
        </row>
        <row r="84">
          <cell r="B84" t="str">
            <v>Old Port</v>
          </cell>
          <cell r="D84">
            <v>10000</v>
          </cell>
          <cell r="E84">
            <v>15</v>
          </cell>
          <cell r="F84">
            <v>600</v>
          </cell>
          <cell r="G84">
            <v>9400</v>
          </cell>
          <cell r="T84">
            <v>15</v>
          </cell>
        </row>
        <row r="85">
          <cell r="B85" t="str">
            <v>Old Muscat</v>
          </cell>
          <cell r="D85">
            <v>10000</v>
          </cell>
          <cell r="E85">
            <v>15</v>
          </cell>
          <cell r="F85">
            <v>600</v>
          </cell>
          <cell r="G85">
            <v>9400</v>
          </cell>
          <cell r="T85">
            <v>15</v>
          </cell>
        </row>
      </sheetData>
      <sheetData sheetId="13">
        <row r="34">
          <cell r="H34">
            <v>31376.125</v>
          </cell>
          <cell r="BC34">
            <v>700</v>
          </cell>
        </row>
      </sheetData>
      <sheetData sheetId="14">
        <row r="34">
          <cell r="H34">
            <v>1200</v>
          </cell>
          <cell r="AK34">
            <v>700</v>
          </cell>
        </row>
      </sheetData>
      <sheetData sheetId="15">
        <row r="4">
          <cell r="B4" t="str">
            <v>Name</v>
          </cell>
          <cell r="C4" t="str">
            <v>Quantity required</v>
          </cell>
          <cell r="D4" t="str">
            <v>Units</v>
          </cell>
          <cell r="E4" t="str">
            <v>On Hand</v>
          </cell>
          <cell r="F4" t="str">
            <v>Unit cost</v>
          </cell>
          <cell r="G4" t="str">
            <v>Container size</v>
          </cell>
          <cell r="H4" t="str">
            <v>Container type</v>
          </cell>
          <cell r="I4" t="str">
            <v>Vintage req.</v>
          </cell>
          <cell r="J4" t="str">
            <v>Required for Purchase</v>
          </cell>
          <cell r="K4" t="str">
            <v>Number of units required</v>
          </cell>
          <cell r="L4" t="str">
            <v>Budget cost</v>
          </cell>
          <cell r="M4" t="str">
            <v>Type</v>
          </cell>
          <cell r="N4" t="str">
            <v>Supplier type</v>
          </cell>
          <cell r="O4" t="str">
            <v>Ordered</v>
          </cell>
          <cell r="P4" t="str">
            <v>Preferred</v>
          </cell>
          <cell r="Q4" t="str">
            <v>Price ex GST</v>
          </cell>
          <cell r="R4" t="str">
            <v>Ordered qty</v>
          </cell>
          <cell r="S4" t="str">
            <v>Override total</v>
          </cell>
          <cell r="T4" t="str">
            <v>Total</v>
          </cell>
        </row>
        <row r="5">
          <cell r="B5" t="str">
            <v>SO2 as PMS</v>
          </cell>
          <cell r="C5">
            <v>0</v>
          </cell>
          <cell r="D5" t="str">
            <v>[kg]</v>
          </cell>
          <cell r="E5">
            <v>103</v>
          </cell>
          <cell r="F5">
            <v>4.2</v>
          </cell>
          <cell r="G5">
            <v>25</v>
          </cell>
          <cell r="H5" t="str">
            <v>kg bag</v>
          </cell>
          <cell r="I5">
            <v>77.019114200000004</v>
          </cell>
          <cell r="J5">
            <v>0</v>
          </cell>
          <cell r="K5">
            <v>0</v>
          </cell>
          <cell r="L5">
            <v>0</v>
          </cell>
          <cell r="M5" t="str">
            <v>Ch</v>
          </cell>
          <cell r="N5" t="str">
            <v>General</v>
          </cell>
          <cell r="T5">
            <v>0</v>
          </cell>
        </row>
        <row r="6">
          <cell r="B6" t="str">
            <v>KHT</v>
          </cell>
          <cell r="C6">
            <v>25</v>
          </cell>
          <cell r="D6" t="str">
            <v>[kg]</v>
          </cell>
          <cell r="E6">
            <v>20</v>
          </cell>
          <cell r="F6">
            <v>8</v>
          </cell>
          <cell r="G6">
            <v>25</v>
          </cell>
          <cell r="H6" t="str">
            <v>kg bag</v>
          </cell>
          <cell r="I6">
            <v>24.225674999999999</v>
          </cell>
          <cell r="J6">
            <v>4.225674999999999</v>
          </cell>
          <cell r="K6">
            <v>1</v>
          </cell>
          <cell r="L6">
            <v>200</v>
          </cell>
          <cell r="M6" t="str">
            <v>Ch</v>
          </cell>
          <cell r="N6" t="str">
            <v>General</v>
          </cell>
          <cell r="T6">
            <v>200</v>
          </cell>
        </row>
        <row r="7">
          <cell r="B7" t="str">
            <v>CMC</v>
          </cell>
          <cell r="C7">
            <v>85</v>
          </cell>
          <cell r="D7" t="str">
            <v>[L]</v>
          </cell>
          <cell r="E7">
            <v>2.2999999999999998</v>
          </cell>
          <cell r="F7">
            <v>8.9499999999999993</v>
          </cell>
          <cell r="G7">
            <v>5</v>
          </cell>
          <cell r="H7" t="str">
            <v>L</v>
          </cell>
          <cell r="I7">
            <v>82.454303999999993</v>
          </cell>
          <cell r="J7">
            <v>80.154303999999996</v>
          </cell>
          <cell r="K7">
            <v>17</v>
          </cell>
          <cell r="L7">
            <v>760.74999999999989</v>
          </cell>
          <cell r="M7" t="str">
            <v>Ch</v>
          </cell>
          <cell r="N7" t="str">
            <v>General</v>
          </cell>
          <cell r="T7">
            <v>760.74999999999989</v>
          </cell>
        </row>
        <row r="8">
          <cell r="B8" t="str">
            <v>Ascorbic acid</v>
          </cell>
          <cell r="C8">
            <v>0</v>
          </cell>
          <cell r="D8" t="str">
            <v>[kg]</v>
          </cell>
          <cell r="E8">
            <v>11</v>
          </cell>
          <cell r="F8">
            <v>22</v>
          </cell>
          <cell r="G8">
            <v>25</v>
          </cell>
          <cell r="H8" t="str">
            <v>kg bag</v>
          </cell>
          <cell r="I8">
            <v>8.2888799999999989</v>
          </cell>
          <cell r="J8">
            <v>0</v>
          </cell>
          <cell r="K8">
            <v>0</v>
          </cell>
          <cell r="L8">
            <v>0</v>
          </cell>
          <cell r="M8" t="str">
            <v>Ch</v>
          </cell>
          <cell r="N8" t="str">
            <v>General</v>
          </cell>
          <cell r="R8">
            <v>5</v>
          </cell>
          <cell r="T8">
            <v>110</v>
          </cell>
        </row>
        <row r="9">
          <cell r="B9" t="str">
            <v>Citric</v>
          </cell>
          <cell r="C9">
            <v>0</v>
          </cell>
          <cell r="D9" t="str">
            <v>[kg]</v>
          </cell>
          <cell r="E9">
            <v>376</v>
          </cell>
          <cell r="F9">
            <v>3.32</v>
          </cell>
          <cell r="G9">
            <v>25</v>
          </cell>
          <cell r="H9" t="str">
            <v>kg bag</v>
          </cell>
          <cell r="I9">
            <v>300.57827520000001</v>
          </cell>
          <cell r="J9">
            <v>0</v>
          </cell>
          <cell r="K9">
            <v>0</v>
          </cell>
          <cell r="L9">
            <v>0</v>
          </cell>
          <cell r="M9" t="str">
            <v>Ch</v>
          </cell>
          <cell r="N9" t="str">
            <v>General</v>
          </cell>
          <cell r="T9">
            <v>0</v>
          </cell>
        </row>
        <row r="10">
          <cell r="B10" t="str">
            <v>Malic</v>
          </cell>
          <cell r="C10">
            <v>0</v>
          </cell>
          <cell r="D10" t="str">
            <v>[kg]</v>
          </cell>
          <cell r="E10">
            <v>285</v>
          </cell>
          <cell r="F10">
            <v>5.05</v>
          </cell>
          <cell r="G10">
            <v>25</v>
          </cell>
          <cell r="H10" t="str">
            <v>kg bag</v>
          </cell>
          <cell r="I10">
            <v>1.4456880000000001</v>
          </cell>
          <cell r="J10">
            <v>0</v>
          </cell>
          <cell r="K10">
            <v>0</v>
          </cell>
          <cell r="L10">
            <v>0</v>
          </cell>
          <cell r="M10" t="str">
            <v>Ch</v>
          </cell>
          <cell r="N10" t="str">
            <v>General</v>
          </cell>
          <cell r="T10">
            <v>0</v>
          </cell>
        </row>
        <row r="11">
          <cell r="B11" t="str">
            <v>Tartaric</v>
          </cell>
          <cell r="C11">
            <v>75</v>
          </cell>
          <cell r="D11" t="str">
            <v>[kg]</v>
          </cell>
          <cell r="E11">
            <v>35</v>
          </cell>
          <cell r="F11">
            <v>7.58</v>
          </cell>
          <cell r="G11">
            <v>25</v>
          </cell>
          <cell r="H11" t="str">
            <v>kg bag</v>
          </cell>
          <cell r="I11">
            <v>85.018525499999996</v>
          </cell>
          <cell r="J11">
            <v>50.018525499999996</v>
          </cell>
          <cell r="K11">
            <v>3</v>
          </cell>
          <cell r="L11">
            <v>568.5</v>
          </cell>
          <cell r="M11" t="str">
            <v>Ch</v>
          </cell>
          <cell r="N11" t="str">
            <v>General</v>
          </cell>
          <cell r="T11">
            <v>568.5</v>
          </cell>
        </row>
        <row r="12">
          <cell r="B12" t="str">
            <v>Potassium Carbonate</v>
          </cell>
          <cell r="C12">
            <v>0</v>
          </cell>
          <cell r="D12" t="str">
            <v>[kg]</v>
          </cell>
          <cell r="E12">
            <v>37</v>
          </cell>
          <cell r="F12">
            <v>7.58</v>
          </cell>
          <cell r="G12">
            <v>25</v>
          </cell>
          <cell r="H12" t="str">
            <v>kg bag</v>
          </cell>
          <cell r="I12">
            <v>21.940537500000001</v>
          </cell>
          <cell r="J12">
            <v>0</v>
          </cell>
          <cell r="K12">
            <v>0</v>
          </cell>
          <cell r="L12">
            <v>0</v>
          </cell>
          <cell r="M12" t="str">
            <v>Ch</v>
          </cell>
          <cell r="N12" t="str">
            <v>General</v>
          </cell>
          <cell r="T12">
            <v>0</v>
          </cell>
        </row>
        <row r="13">
          <cell r="B13" t="str">
            <v>Flottogel</v>
          </cell>
          <cell r="C13">
            <v>0</v>
          </cell>
          <cell r="D13" t="str">
            <v>[kg]</v>
          </cell>
          <cell r="E13">
            <v>5.5</v>
          </cell>
          <cell r="F13">
            <v>7.58</v>
          </cell>
          <cell r="G13">
            <v>5</v>
          </cell>
          <cell r="H13" t="str">
            <v>kg bag</v>
          </cell>
          <cell r="I13">
            <v>3.0887999999999995</v>
          </cell>
          <cell r="J13">
            <v>0</v>
          </cell>
          <cell r="K13">
            <v>0</v>
          </cell>
          <cell r="L13">
            <v>0</v>
          </cell>
          <cell r="M13" t="str">
            <v>Ch</v>
          </cell>
          <cell r="N13" t="str">
            <v>General</v>
          </cell>
          <cell r="T13">
            <v>0</v>
          </cell>
        </row>
        <row r="14">
          <cell r="B14" t="str">
            <v>DAP</v>
          </cell>
          <cell r="C14">
            <v>0</v>
          </cell>
          <cell r="D14" t="str">
            <v>[kg]</v>
          </cell>
          <cell r="E14">
            <v>38</v>
          </cell>
          <cell r="F14">
            <v>5.8</v>
          </cell>
          <cell r="G14">
            <v>25</v>
          </cell>
          <cell r="H14" t="str">
            <v>kg bag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str">
            <v>Ch</v>
          </cell>
          <cell r="N14" t="str">
            <v>General</v>
          </cell>
          <cell r="T14">
            <v>0</v>
          </cell>
        </row>
        <row r="15">
          <cell r="B15" t="str">
            <v>PVPP</v>
          </cell>
          <cell r="C15">
            <v>0</v>
          </cell>
          <cell r="D15" t="str">
            <v>[kg]</v>
          </cell>
          <cell r="E15">
            <v>18</v>
          </cell>
          <cell r="F15">
            <v>35</v>
          </cell>
          <cell r="G15">
            <v>10</v>
          </cell>
          <cell r="H15" t="str">
            <v>kg bag</v>
          </cell>
          <cell r="I15">
            <v>11.795069099999999</v>
          </cell>
          <cell r="J15">
            <v>0</v>
          </cell>
          <cell r="K15">
            <v>0</v>
          </cell>
          <cell r="L15">
            <v>0</v>
          </cell>
          <cell r="M15" t="str">
            <v>Ch</v>
          </cell>
          <cell r="N15" t="str">
            <v>General</v>
          </cell>
          <cell r="T15">
            <v>0</v>
          </cell>
        </row>
        <row r="16">
          <cell r="B16" t="str">
            <v>Gelatin</v>
          </cell>
          <cell r="C16">
            <v>0</v>
          </cell>
          <cell r="D16" t="str">
            <v>[kg]</v>
          </cell>
          <cell r="F16">
            <v>5</v>
          </cell>
          <cell r="G16">
            <v>20</v>
          </cell>
          <cell r="H16" t="str">
            <v>L container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 t="str">
            <v>Ch</v>
          </cell>
          <cell r="N16" t="str">
            <v>Specialist supplier</v>
          </cell>
        </row>
        <row r="17">
          <cell r="B17" t="str">
            <v>Egg white</v>
          </cell>
          <cell r="C17">
            <v>6</v>
          </cell>
          <cell r="D17" t="str">
            <v>[kg]</v>
          </cell>
          <cell r="F17">
            <v>4.5</v>
          </cell>
          <cell r="G17">
            <v>1</v>
          </cell>
          <cell r="H17" t="str">
            <v>dozen</v>
          </cell>
          <cell r="I17">
            <v>5.229354166666667</v>
          </cell>
          <cell r="J17">
            <v>5.229354166666667</v>
          </cell>
          <cell r="K17">
            <v>6</v>
          </cell>
          <cell r="L17">
            <v>27</v>
          </cell>
          <cell r="M17" t="str">
            <v>Ch</v>
          </cell>
          <cell r="N17" t="str">
            <v>Local</v>
          </cell>
        </row>
        <row r="18">
          <cell r="B18" t="str">
            <v>Skim milk</v>
          </cell>
          <cell r="C18">
            <v>2</v>
          </cell>
          <cell r="D18" t="str">
            <v>[L]</v>
          </cell>
          <cell r="F18">
            <v>1.35</v>
          </cell>
          <cell r="G18">
            <v>2</v>
          </cell>
          <cell r="H18" t="str">
            <v>L bottle</v>
          </cell>
          <cell r="I18">
            <v>1.1901314999999999E-2</v>
          </cell>
          <cell r="J18">
            <v>1.1901314999999999E-2</v>
          </cell>
          <cell r="K18">
            <v>1</v>
          </cell>
          <cell r="L18">
            <v>2.7</v>
          </cell>
          <cell r="M18" t="str">
            <v>Ch</v>
          </cell>
          <cell r="N18" t="str">
            <v>Local</v>
          </cell>
          <cell r="T18">
            <v>2.7</v>
          </cell>
        </row>
        <row r="19">
          <cell r="B19" t="str">
            <v>Isinglass</v>
          </cell>
          <cell r="C19">
            <v>2</v>
          </cell>
          <cell r="D19" t="str">
            <v>[kg]</v>
          </cell>
          <cell r="F19">
            <v>84.8</v>
          </cell>
          <cell r="G19">
            <v>1</v>
          </cell>
          <cell r="H19" t="str">
            <v>kg pack</v>
          </cell>
          <cell r="I19">
            <v>1.61456775</v>
          </cell>
          <cell r="J19">
            <v>1.61456775</v>
          </cell>
          <cell r="K19">
            <v>2</v>
          </cell>
          <cell r="L19">
            <v>169.6</v>
          </cell>
          <cell r="M19" t="str">
            <v>Ch</v>
          </cell>
          <cell r="N19" t="str">
            <v>Specialist supplier</v>
          </cell>
          <cell r="T19">
            <v>169.6</v>
          </cell>
        </row>
        <row r="20">
          <cell r="B20" t="str">
            <v>Tirage sugar</v>
          </cell>
          <cell r="C20">
            <v>165</v>
          </cell>
          <cell r="D20" t="str">
            <v>[kg]</v>
          </cell>
          <cell r="F20">
            <v>1</v>
          </cell>
          <cell r="G20">
            <v>15</v>
          </cell>
          <cell r="H20" t="str">
            <v>kg bag</v>
          </cell>
          <cell r="I20">
            <v>150.351552</v>
          </cell>
          <cell r="J20">
            <v>150.351552</v>
          </cell>
          <cell r="K20">
            <v>11</v>
          </cell>
          <cell r="L20">
            <v>165</v>
          </cell>
          <cell r="M20" t="str">
            <v>Ch</v>
          </cell>
          <cell r="N20" t="str">
            <v>Local</v>
          </cell>
          <cell r="T20">
            <v>165</v>
          </cell>
        </row>
        <row r="21">
          <cell r="B21" t="str">
            <v>Neutral Concentrate</v>
          </cell>
          <cell r="C21">
            <v>0</v>
          </cell>
          <cell r="D21" t="str">
            <v>[L]</v>
          </cell>
          <cell r="F21">
            <v>6.6</v>
          </cell>
          <cell r="G21">
            <v>20</v>
          </cell>
          <cell r="H21" t="str">
            <v>L/container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 t="str">
            <v>Ch</v>
          </cell>
          <cell r="N21" t="str">
            <v>Concentrate supplier</v>
          </cell>
          <cell r="T21">
            <v>0</v>
          </cell>
        </row>
        <row r="22">
          <cell r="B22" t="str">
            <v>MuscatG Concentrate</v>
          </cell>
          <cell r="C22">
            <v>0</v>
          </cell>
          <cell r="D22" t="str">
            <v>[L]</v>
          </cell>
          <cell r="F22">
            <v>6.6</v>
          </cell>
          <cell r="G22">
            <v>20</v>
          </cell>
          <cell r="H22" t="str">
            <v>L/container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 t="str">
            <v>Ch</v>
          </cell>
          <cell r="N22" t="str">
            <v>Concentrate supplier</v>
          </cell>
          <cell r="T22">
            <v>0</v>
          </cell>
        </row>
        <row r="23">
          <cell r="B23" t="str">
            <v>Bentonite</v>
          </cell>
          <cell r="C23">
            <v>30</v>
          </cell>
          <cell r="D23" t="str">
            <v>[kg]</v>
          </cell>
          <cell r="E23">
            <v>82</v>
          </cell>
          <cell r="F23">
            <v>2.65</v>
          </cell>
          <cell r="G23">
            <v>15</v>
          </cell>
          <cell r="H23" t="str">
            <v>kg bag</v>
          </cell>
          <cell r="I23">
            <v>110.84191200000001</v>
          </cell>
          <cell r="J23">
            <v>28.841912000000008</v>
          </cell>
          <cell r="K23">
            <v>2</v>
          </cell>
          <cell r="L23">
            <v>79.5</v>
          </cell>
          <cell r="M23" t="str">
            <v>Ch</v>
          </cell>
          <cell r="N23" t="str">
            <v>General</v>
          </cell>
          <cell r="T23">
            <v>79.5</v>
          </cell>
        </row>
        <row r="24">
          <cell r="B24" t="str">
            <v>Inoclair 2</v>
          </cell>
          <cell r="C24">
            <v>1</v>
          </cell>
          <cell r="D24" t="str">
            <v>[kg]</v>
          </cell>
          <cell r="F24">
            <v>160</v>
          </cell>
          <cell r="G24">
            <v>1</v>
          </cell>
          <cell r="H24" t="str">
            <v>kg bag</v>
          </cell>
          <cell r="I24">
            <v>0.35274787199999996</v>
          </cell>
          <cell r="J24">
            <v>0.35274787199999996</v>
          </cell>
          <cell r="K24">
            <v>1</v>
          </cell>
          <cell r="L24">
            <v>160</v>
          </cell>
          <cell r="M24" t="str">
            <v>Ch</v>
          </cell>
          <cell r="N24" t="str">
            <v>Specialist supplier</v>
          </cell>
          <cell r="T24">
            <v>160</v>
          </cell>
        </row>
        <row r="25">
          <cell r="B25" t="str">
            <v>Alcool</v>
          </cell>
          <cell r="C25">
            <v>0</v>
          </cell>
          <cell r="D25" t="str">
            <v>drums</v>
          </cell>
          <cell r="F25">
            <v>476</v>
          </cell>
          <cell r="G25">
            <v>1</v>
          </cell>
          <cell r="H25" t="str">
            <v>200L drum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 t="str">
            <v>Ch</v>
          </cell>
          <cell r="N25" t="str">
            <v>Specialist supplier</v>
          </cell>
          <cell r="T25">
            <v>0</v>
          </cell>
        </row>
        <row r="26">
          <cell r="B26" t="str">
            <v>Soda ash</v>
          </cell>
          <cell r="C26">
            <v>0</v>
          </cell>
          <cell r="D26" t="str">
            <v>[kg]</v>
          </cell>
          <cell r="E26">
            <v>250</v>
          </cell>
          <cell r="F26">
            <v>2.2919999999999998</v>
          </cell>
          <cell r="G26">
            <v>25</v>
          </cell>
          <cell r="H26" t="str">
            <v>kg bag</v>
          </cell>
          <cell r="I26">
            <v>250</v>
          </cell>
          <cell r="J26">
            <v>0</v>
          </cell>
          <cell r="K26">
            <v>0</v>
          </cell>
          <cell r="L26">
            <v>0</v>
          </cell>
          <cell r="M26" t="str">
            <v>Ch</v>
          </cell>
          <cell r="N26" t="str">
            <v>General</v>
          </cell>
          <cell r="T26">
            <v>0</v>
          </cell>
        </row>
        <row r="27">
          <cell r="B27" t="str">
            <v>Caustic drums</v>
          </cell>
          <cell r="C27">
            <v>0</v>
          </cell>
          <cell r="D27">
            <v>0</v>
          </cell>
          <cell r="E27">
            <v>3</v>
          </cell>
          <cell r="F27">
            <v>240</v>
          </cell>
          <cell r="G27">
            <v>1</v>
          </cell>
          <cell r="H27" t="str">
            <v>200L drum</v>
          </cell>
          <cell r="I27">
            <v>3</v>
          </cell>
          <cell r="J27">
            <v>0</v>
          </cell>
          <cell r="K27">
            <v>0</v>
          </cell>
          <cell r="L27">
            <v>0</v>
          </cell>
          <cell r="M27" t="str">
            <v>Ch</v>
          </cell>
          <cell r="N27" t="str">
            <v>General</v>
          </cell>
          <cell r="T27">
            <v>0</v>
          </cell>
        </row>
        <row r="28">
          <cell r="B28" t="str">
            <v>Oxyper</v>
          </cell>
          <cell r="C28">
            <v>375</v>
          </cell>
          <cell r="D28" t="str">
            <v>[kg]</v>
          </cell>
          <cell r="E28">
            <v>230</v>
          </cell>
          <cell r="F28">
            <v>2</v>
          </cell>
          <cell r="G28">
            <v>25</v>
          </cell>
          <cell r="H28" t="str">
            <v>kg bag</v>
          </cell>
          <cell r="I28">
            <v>600</v>
          </cell>
          <cell r="J28">
            <v>370</v>
          </cell>
          <cell r="K28">
            <v>15</v>
          </cell>
          <cell r="L28">
            <v>750</v>
          </cell>
          <cell r="M28" t="str">
            <v>Ch</v>
          </cell>
          <cell r="N28" t="str">
            <v>General</v>
          </cell>
          <cell r="T28">
            <v>750</v>
          </cell>
        </row>
        <row r="29">
          <cell r="B29" t="str">
            <v>Coarse pads</v>
          </cell>
          <cell r="C29">
            <v>0</v>
          </cell>
          <cell r="D29" t="str">
            <v>sheets</v>
          </cell>
          <cell r="E29">
            <v>488</v>
          </cell>
          <cell r="F29">
            <v>3.42</v>
          </cell>
          <cell r="G29">
            <v>100</v>
          </cell>
          <cell r="H29" t="str">
            <v>num/box</v>
          </cell>
          <cell r="I29">
            <v>393.59999999999997</v>
          </cell>
          <cell r="J29">
            <v>0</v>
          </cell>
          <cell r="K29">
            <v>0</v>
          </cell>
          <cell r="L29">
            <v>0</v>
          </cell>
          <cell r="M29" t="str">
            <v>Co</v>
          </cell>
          <cell r="N29" t="str">
            <v>Specialist supplier</v>
          </cell>
          <cell r="T29">
            <v>0</v>
          </cell>
        </row>
        <row r="30">
          <cell r="B30" t="str">
            <v>Fine pads</v>
          </cell>
          <cell r="C30">
            <v>0</v>
          </cell>
          <cell r="D30" t="str">
            <v>sheets</v>
          </cell>
          <cell r="E30">
            <v>412</v>
          </cell>
          <cell r="F30">
            <v>3.42</v>
          </cell>
          <cell r="G30">
            <v>100</v>
          </cell>
          <cell r="H30" t="str">
            <v>num/box</v>
          </cell>
          <cell r="I30">
            <v>336</v>
          </cell>
          <cell r="J30">
            <v>0</v>
          </cell>
          <cell r="K30">
            <v>0</v>
          </cell>
          <cell r="L30">
            <v>0</v>
          </cell>
          <cell r="M30" t="str">
            <v>Co</v>
          </cell>
          <cell r="N30" t="str">
            <v>Specialist supplier</v>
          </cell>
          <cell r="T30">
            <v>0</v>
          </cell>
        </row>
        <row r="31">
          <cell r="B31" t="str">
            <v>Cellulose</v>
          </cell>
          <cell r="C31">
            <v>0</v>
          </cell>
          <cell r="D31" t="str">
            <v>[kg]</v>
          </cell>
          <cell r="E31">
            <v>40</v>
          </cell>
          <cell r="F31">
            <v>6.05</v>
          </cell>
          <cell r="G31">
            <v>20</v>
          </cell>
          <cell r="H31" t="str">
            <v>kg bag</v>
          </cell>
          <cell r="I31">
            <v>17.935700400000002</v>
          </cell>
          <cell r="J31">
            <v>0</v>
          </cell>
          <cell r="K31">
            <v>0</v>
          </cell>
          <cell r="L31">
            <v>0</v>
          </cell>
          <cell r="M31" t="str">
            <v>Co</v>
          </cell>
          <cell r="N31" t="str">
            <v>Specialist supplier</v>
          </cell>
          <cell r="T31">
            <v>0</v>
          </cell>
        </row>
        <row r="32">
          <cell r="B32" t="str">
            <v>Coarse earth</v>
          </cell>
          <cell r="C32">
            <v>0</v>
          </cell>
          <cell r="D32" t="str">
            <v>[kg]</v>
          </cell>
          <cell r="E32">
            <v>606</v>
          </cell>
          <cell r="F32">
            <v>0.93</v>
          </cell>
          <cell r="G32">
            <v>20</v>
          </cell>
          <cell r="H32" t="str">
            <v>kg bag</v>
          </cell>
          <cell r="I32">
            <v>234.517753</v>
          </cell>
          <cell r="J32">
            <v>0</v>
          </cell>
          <cell r="K32">
            <v>0</v>
          </cell>
          <cell r="L32">
            <v>0</v>
          </cell>
          <cell r="M32" t="str">
            <v>Co</v>
          </cell>
          <cell r="N32" t="str">
            <v>Specialist supplier</v>
          </cell>
          <cell r="T32">
            <v>0</v>
          </cell>
        </row>
        <row r="33">
          <cell r="B33" t="str">
            <v>Fine earth</v>
          </cell>
          <cell r="C33">
            <v>154</v>
          </cell>
          <cell r="D33" t="str">
            <v>[kg]</v>
          </cell>
          <cell r="E33">
            <v>95</v>
          </cell>
          <cell r="F33">
            <v>1.1500000000000001</v>
          </cell>
          <cell r="G33">
            <v>22</v>
          </cell>
          <cell r="H33" t="str">
            <v>kg bag</v>
          </cell>
          <cell r="I33">
            <v>234.517753</v>
          </cell>
          <cell r="J33">
            <v>139.517753</v>
          </cell>
          <cell r="K33">
            <v>7</v>
          </cell>
          <cell r="L33">
            <v>177.10000000000002</v>
          </cell>
          <cell r="M33" t="str">
            <v>Co</v>
          </cell>
          <cell r="N33" t="str">
            <v>Specialist supplier</v>
          </cell>
          <cell r="R33">
            <v>180</v>
          </cell>
          <cell r="T33">
            <v>207.00000000000003</v>
          </cell>
        </row>
        <row r="34">
          <cell r="B34" t="str">
            <v>Yeast</v>
          </cell>
        </row>
        <row r="35">
          <cell r="B35" t="str">
            <v>PDM</v>
          </cell>
          <cell r="C35">
            <v>0.5</v>
          </cell>
          <cell r="D35" t="str">
            <v>[kg]</v>
          </cell>
          <cell r="E35">
            <v>5</v>
          </cell>
          <cell r="F35">
            <v>50</v>
          </cell>
          <cell r="G35">
            <v>0.5</v>
          </cell>
          <cell r="H35" t="str">
            <v>kg bag</v>
          </cell>
          <cell r="I35">
            <v>5.1559999999999997</v>
          </cell>
          <cell r="J35">
            <v>0.15599999999999969</v>
          </cell>
          <cell r="K35">
            <v>1</v>
          </cell>
          <cell r="L35">
            <v>25</v>
          </cell>
          <cell r="M35" t="str">
            <v>Ch</v>
          </cell>
          <cell r="N35" t="str">
            <v>Microbiology supplier</v>
          </cell>
          <cell r="P35" t="str">
            <v>Redox</v>
          </cell>
          <cell r="T35">
            <v>25</v>
          </cell>
        </row>
        <row r="36">
          <cell r="B36" t="str">
            <v>Alchemy II</v>
          </cell>
          <cell r="C36">
            <v>0</v>
          </cell>
          <cell r="D36" t="str">
            <v>[kg]</v>
          </cell>
          <cell r="E36">
            <v>3</v>
          </cell>
          <cell r="F36">
            <v>50</v>
          </cell>
          <cell r="G36">
            <v>0.5</v>
          </cell>
          <cell r="H36" t="str">
            <v>kg bag</v>
          </cell>
          <cell r="I36">
            <v>2.8079999999999998</v>
          </cell>
          <cell r="J36">
            <v>0</v>
          </cell>
          <cell r="K36">
            <v>0</v>
          </cell>
          <cell r="L36">
            <v>0</v>
          </cell>
          <cell r="M36" t="str">
            <v>Ch</v>
          </cell>
          <cell r="N36" t="str">
            <v>Microbiology supplier</v>
          </cell>
          <cell r="P36" t="str">
            <v>Vinvicta</v>
          </cell>
          <cell r="T36">
            <v>0</v>
          </cell>
        </row>
        <row r="37">
          <cell r="B37" t="str">
            <v>AWRI 350</v>
          </cell>
          <cell r="C37">
            <v>0.5</v>
          </cell>
          <cell r="D37" t="str">
            <v>[kg]</v>
          </cell>
          <cell r="F37">
            <v>50</v>
          </cell>
          <cell r="G37">
            <v>0.5</v>
          </cell>
          <cell r="H37" t="str">
            <v>kg bag</v>
          </cell>
          <cell r="I37">
            <v>0.30599999999999999</v>
          </cell>
          <cell r="J37">
            <v>0.30599999999999999</v>
          </cell>
          <cell r="K37">
            <v>1</v>
          </cell>
          <cell r="L37">
            <v>25</v>
          </cell>
          <cell r="M37" t="str">
            <v>Ch</v>
          </cell>
          <cell r="N37" t="str">
            <v>Microbiology supplier</v>
          </cell>
          <cell r="P37" t="str">
            <v>Redox</v>
          </cell>
          <cell r="T37">
            <v>25</v>
          </cell>
        </row>
        <row r="38">
          <cell r="B38" t="str">
            <v>Cru Blanc</v>
          </cell>
          <cell r="C38">
            <v>0</v>
          </cell>
          <cell r="D38" t="str">
            <v>[kg]</v>
          </cell>
          <cell r="F38">
            <v>50</v>
          </cell>
          <cell r="G38">
            <v>0.5</v>
          </cell>
          <cell r="H38" t="str">
            <v>kg bag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 t="str">
            <v>Ch</v>
          </cell>
          <cell r="N38" t="str">
            <v>Microbiology supplier</v>
          </cell>
          <cell r="P38" t="str">
            <v>Redox</v>
          </cell>
          <cell r="T38">
            <v>0</v>
          </cell>
        </row>
        <row r="39">
          <cell r="B39" t="str">
            <v>Platinum</v>
          </cell>
          <cell r="C39">
            <v>0.5</v>
          </cell>
          <cell r="D39" t="str">
            <v>[kg]</v>
          </cell>
          <cell r="E39">
            <v>7</v>
          </cell>
          <cell r="F39">
            <v>85</v>
          </cell>
          <cell r="G39">
            <v>0.5</v>
          </cell>
          <cell r="H39" t="str">
            <v>kg bag</v>
          </cell>
          <cell r="I39">
            <v>7.3439999999999985</v>
          </cell>
          <cell r="J39">
            <v>0.34399999999999853</v>
          </cell>
          <cell r="K39">
            <v>1</v>
          </cell>
          <cell r="L39">
            <v>42.5</v>
          </cell>
          <cell r="M39" t="str">
            <v>Ch</v>
          </cell>
          <cell r="N39" t="str">
            <v>Microbiology supplier</v>
          </cell>
          <cell r="P39" t="str">
            <v>Redox</v>
          </cell>
          <cell r="R39">
            <v>3</v>
          </cell>
          <cell r="T39">
            <v>255</v>
          </cell>
        </row>
        <row r="40">
          <cell r="B40" t="str">
            <v>Cross Evo</v>
          </cell>
          <cell r="C40">
            <v>0</v>
          </cell>
          <cell r="D40" t="str">
            <v>[kg]</v>
          </cell>
          <cell r="E40">
            <v>2</v>
          </cell>
          <cell r="F40">
            <v>50</v>
          </cell>
          <cell r="G40">
            <v>0.5</v>
          </cell>
          <cell r="H40" t="str">
            <v>kg bag</v>
          </cell>
          <cell r="I40">
            <v>0.30599999999999999</v>
          </cell>
          <cell r="J40">
            <v>0</v>
          </cell>
          <cell r="K40">
            <v>0</v>
          </cell>
          <cell r="L40">
            <v>0</v>
          </cell>
          <cell r="M40" t="str">
            <v>Ch</v>
          </cell>
          <cell r="N40" t="str">
            <v>Microbiology supplier</v>
          </cell>
          <cell r="R40">
            <v>1</v>
          </cell>
          <cell r="T40">
            <v>50</v>
          </cell>
        </row>
        <row r="41">
          <cell r="B41" t="str">
            <v>GHM</v>
          </cell>
          <cell r="C41">
            <v>0</v>
          </cell>
          <cell r="D41" t="str">
            <v>[kg]</v>
          </cell>
          <cell r="E41">
            <v>2</v>
          </cell>
          <cell r="F41">
            <v>50</v>
          </cell>
          <cell r="G41">
            <v>0.5</v>
          </cell>
          <cell r="H41" t="str">
            <v>kg bag</v>
          </cell>
          <cell r="I41">
            <v>0.312</v>
          </cell>
          <cell r="J41">
            <v>0</v>
          </cell>
          <cell r="K41">
            <v>0</v>
          </cell>
          <cell r="L41">
            <v>0</v>
          </cell>
          <cell r="M41" t="str">
            <v>Ch</v>
          </cell>
          <cell r="N41" t="str">
            <v>Microbiology supplier</v>
          </cell>
          <cell r="T41">
            <v>0</v>
          </cell>
        </row>
        <row r="42">
          <cell r="B42" t="str">
            <v/>
          </cell>
          <cell r="C42">
            <v>0</v>
          </cell>
          <cell r="D42" t="str">
            <v>[kg]</v>
          </cell>
          <cell r="F42">
            <v>50</v>
          </cell>
          <cell r="G42">
            <v>0.5</v>
          </cell>
          <cell r="H42" t="str">
            <v>kg bag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 t="str">
            <v>Ch</v>
          </cell>
          <cell r="N42" t="str">
            <v>Microbiology supplier</v>
          </cell>
          <cell r="T42">
            <v>0</v>
          </cell>
        </row>
        <row r="43">
          <cell r="B43" t="str">
            <v>Rhythm</v>
          </cell>
          <cell r="C43">
            <v>4.5</v>
          </cell>
          <cell r="D43" t="str">
            <v>[kg]</v>
          </cell>
          <cell r="F43">
            <v>74</v>
          </cell>
          <cell r="G43">
            <v>0.5</v>
          </cell>
          <cell r="H43" t="str">
            <v>kg bag</v>
          </cell>
          <cell r="I43">
            <v>4.3299999999999992</v>
          </cell>
          <cell r="J43">
            <v>4.3299999999999992</v>
          </cell>
          <cell r="K43">
            <v>9</v>
          </cell>
          <cell r="L43">
            <v>333</v>
          </cell>
          <cell r="M43" t="str">
            <v>Ch</v>
          </cell>
          <cell r="N43" t="str">
            <v>Microbiology supplier</v>
          </cell>
          <cell r="P43" t="str">
            <v>CHR Hansen via EEMuir</v>
          </cell>
          <cell r="T43">
            <v>333</v>
          </cell>
        </row>
        <row r="44">
          <cell r="B44" t="str">
            <v>Melody</v>
          </cell>
          <cell r="C44">
            <v>2</v>
          </cell>
          <cell r="D44" t="str">
            <v>[kg]</v>
          </cell>
          <cell r="F44">
            <v>74</v>
          </cell>
          <cell r="G44">
            <v>0.5</v>
          </cell>
          <cell r="H44" t="str">
            <v>kg bag</v>
          </cell>
          <cell r="I44">
            <v>1.6659999999999999</v>
          </cell>
          <cell r="J44">
            <v>1.6659999999999999</v>
          </cell>
          <cell r="K44">
            <v>4</v>
          </cell>
          <cell r="L44">
            <v>148</v>
          </cell>
          <cell r="M44" t="str">
            <v>Ch</v>
          </cell>
          <cell r="N44" t="str">
            <v>Microbiology supplier</v>
          </cell>
          <cell r="P44" t="str">
            <v>CHR Hansen via EEMuir</v>
          </cell>
          <cell r="T44">
            <v>148</v>
          </cell>
        </row>
        <row r="45">
          <cell r="B45" t="str">
            <v>FermControl</v>
          </cell>
          <cell r="C45">
            <v>10</v>
          </cell>
          <cell r="D45" t="str">
            <v>[kg]</v>
          </cell>
          <cell r="E45">
            <v>15</v>
          </cell>
          <cell r="F45">
            <v>80</v>
          </cell>
          <cell r="G45">
            <v>1</v>
          </cell>
          <cell r="H45" t="str">
            <v>kg bag</v>
          </cell>
          <cell r="I45">
            <v>24.84</v>
          </cell>
          <cell r="J45">
            <v>9.84</v>
          </cell>
          <cell r="K45">
            <v>10</v>
          </cell>
          <cell r="L45">
            <v>800</v>
          </cell>
          <cell r="M45" t="str">
            <v>Ch</v>
          </cell>
          <cell r="N45" t="str">
            <v>Microbiology supplier</v>
          </cell>
          <cell r="T45">
            <v>800</v>
          </cell>
        </row>
        <row r="46">
          <cell r="B46" t="str">
            <v>Cerevit</v>
          </cell>
          <cell r="C46">
            <v>0</v>
          </cell>
          <cell r="D46" t="str">
            <v>[kg]</v>
          </cell>
          <cell r="E46">
            <v>0.5</v>
          </cell>
          <cell r="F46">
            <v>182</v>
          </cell>
          <cell r="G46">
            <v>0.55000000000000004</v>
          </cell>
          <cell r="H46" t="str">
            <v>kg bag</v>
          </cell>
          <cell r="I46">
            <v>0.5</v>
          </cell>
          <cell r="J46">
            <v>0</v>
          </cell>
          <cell r="K46">
            <v>0</v>
          </cell>
          <cell r="L46">
            <v>0</v>
          </cell>
          <cell r="M46" t="str">
            <v>Ch</v>
          </cell>
          <cell r="N46" t="str">
            <v>Microbiology supplier</v>
          </cell>
          <cell r="P46" t="str">
            <v>Lallemand via IMCD</v>
          </cell>
          <cell r="T46">
            <v>0</v>
          </cell>
        </row>
        <row r="47">
          <cell r="B47" t="str">
            <v>MLF</v>
          </cell>
        </row>
        <row r="48">
          <cell r="B48" t="str">
            <v>CH16</v>
          </cell>
          <cell r="C48">
            <v>0</v>
          </cell>
          <cell r="D48" t="str">
            <v>[pack]</v>
          </cell>
          <cell r="F48">
            <v>815</v>
          </cell>
          <cell r="G48">
            <v>1</v>
          </cell>
          <cell r="H48" t="str">
            <v>pack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 t="str">
            <v>Ch</v>
          </cell>
          <cell r="N48" t="str">
            <v>Microbiology supplier</v>
          </cell>
          <cell r="P48" t="str">
            <v>CHR Hansen via EEMuir</v>
          </cell>
          <cell r="T48">
            <v>0</v>
          </cell>
        </row>
        <row r="49">
          <cell r="B49" t="str">
            <v>VP41</v>
          </cell>
          <cell r="C49">
            <v>1</v>
          </cell>
          <cell r="D49" t="str">
            <v>[pack]</v>
          </cell>
          <cell r="E49">
            <v>2</v>
          </cell>
          <cell r="F49">
            <v>115</v>
          </cell>
          <cell r="G49">
            <v>1</v>
          </cell>
          <cell r="H49" t="str">
            <v>pack</v>
          </cell>
          <cell r="I49">
            <v>2.8854000000000002</v>
          </cell>
          <cell r="J49">
            <v>0.88540000000000019</v>
          </cell>
          <cell r="K49">
            <v>1</v>
          </cell>
          <cell r="L49">
            <v>115</v>
          </cell>
          <cell r="M49" t="str">
            <v>Ch</v>
          </cell>
          <cell r="N49" t="str">
            <v>Microbiology supplier</v>
          </cell>
          <cell r="P49" t="str">
            <v>Lallemand via IMCD</v>
          </cell>
          <cell r="T49">
            <v>115</v>
          </cell>
        </row>
        <row r="50">
          <cell r="B50" t="str">
            <v>OptiMalo</v>
          </cell>
          <cell r="C50">
            <v>0</v>
          </cell>
          <cell r="D50" t="str">
            <v>[kg]</v>
          </cell>
          <cell r="E50">
            <v>3</v>
          </cell>
          <cell r="F50">
            <v>65</v>
          </cell>
          <cell r="G50">
            <v>0.5</v>
          </cell>
          <cell r="H50" t="str">
            <v>kg pack</v>
          </cell>
          <cell r="I50">
            <v>2</v>
          </cell>
          <cell r="J50">
            <v>0</v>
          </cell>
          <cell r="K50">
            <v>0</v>
          </cell>
          <cell r="L50">
            <v>0</v>
          </cell>
          <cell r="M50" t="str">
            <v>Ch</v>
          </cell>
          <cell r="N50" t="str">
            <v>Microbiology supplier</v>
          </cell>
          <cell r="P50" t="str">
            <v>Lallemand via IMCD</v>
          </cell>
          <cell r="T50">
            <v>0</v>
          </cell>
        </row>
        <row r="51">
          <cell r="B51" t="str">
            <v>ActiML</v>
          </cell>
          <cell r="C51">
            <v>0</v>
          </cell>
          <cell r="D51" t="str">
            <v>[kg]</v>
          </cell>
          <cell r="E51">
            <v>3</v>
          </cell>
          <cell r="F51">
            <v>65</v>
          </cell>
          <cell r="G51">
            <v>0.5</v>
          </cell>
          <cell r="H51" t="str">
            <v>kg pack</v>
          </cell>
          <cell r="I51">
            <v>2</v>
          </cell>
          <cell r="J51">
            <v>0</v>
          </cell>
          <cell r="K51">
            <v>0</v>
          </cell>
          <cell r="L51">
            <v>0</v>
          </cell>
          <cell r="M51" t="str">
            <v>Ch</v>
          </cell>
          <cell r="N51" t="str">
            <v>Microbiology supplier</v>
          </cell>
          <cell r="P51" t="str">
            <v>Lallemand via IMCD</v>
          </cell>
          <cell r="T51">
            <v>0</v>
          </cell>
        </row>
        <row r="52">
          <cell r="B52" t="str">
            <v>PN4</v>
          </cell>
          <cell r="C52">
            <v>0</v>
          </cell>
          <cell r="D52" t="str">
            <v>[pack]</v>
          </cell>
          <cell r="E52">
            <v>3</v>
          </cell>
          <cell r="F52">
            <v>115</v>
          </cell>
          <cell r="G52">
            <v>1</v>
          </cell>
          <cell r="H52" t="str">
            <v>pack</v>
          </cell>
          <cell r="I52">
            <v>0.95760000000000001</v>
          </cell>
          <cell r="J52">
            <v>0</v>
          </cell>
          <cell r="K52">
            <v>0</v>
          </cell>
          <cell r="L52">
            <v>0</v>
          </cell>
          <cell r="M52" t="str">
            <v>Ch</v>
          </cell>
          <cell r="N52" t="str">
            <v>Microbiology supplier</v>
          </cell>
          <cell r="P52" t="str">
            <v>Lallemand via IMCD</v>
          </cell>
          <cell r="T52">
            <v>0</v>
          </cell>
        </row>
        <row r="53">
          <cell r="B53" t="str">
            <v/>
          </cell>
          <cell r="C53">
            <v>0</v>
          </cell>
          <cell r="D53">
            <v>0</v>
          </cell>
          <cell r="G53">
            <v>0.5</v>
          </cell>
          <cell r="H53" t="str">
            <v>kg pack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 t="str">
            <v>Ch</v>
          </cell>
          <cell r="N53" t="str">
            <v>Microbiology supplier</v>
          </cell>
          <cell r="T53">
            <v>0</v>
          </cell>
        </row>
        <row r="54">
          <cell r="B54" t="str">
            <v/>
          </cell>
          <cell r="C54">
            <v>0</v>
          </cell>
          <cell r="D54">
            <v>0</v>
          </cell>
          <cell r="G54">
            <v>0.5</v>
          </cell>
          <cell r="H54" t="str">
            <v>kg pack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 t="str">
            <v>Ch</v>
          </cell>
          <cell r="N54" t="str">
            <v>Microbiology supplier</v>
          </cell>
          <cell r="T54">
            <v>0</v>
          </cell>
        </row>
        <row r="55">
          <cell r="B55" t="str">
            <v>Enzymes</v>
          </cell>
        </row>
        <row r="56">
          <cell r="B56" t="str">
            <v>HC</v>
          </cell>
          <cell r="C56">
            <v>0.2</v>
          </cell>
          <cell r="D56" t="str">
            <v>[kg]</v>
          </cell>
          <cell r="E56">
            <v>0.96</v>
          </cell>
          <cell r="F56">
            <v>18</v>
          </cell>
          <cell r="G56">
            <v>0.1</v>
          </cell>
          <cell r="H56" t="str">
            <v>kg pack</v>
          </cell>
          <cell r="I56">
            <v>1.1232</v>
          </cell>
          <cell r="J56">
            <v>0.16320000000000001</v>
          </cell>
          <cell r="K56">
            <v>2</v>
          </cell>
          <cell r="L56">
            <v>3.6</v>
          </cell>
          <cell r="M56" t="str">
            <v>Ch</v>
          </cell>
          <cell r="N56" t="str">
            <v>Microbiology supplier</v>
          </cell>
          <cell r="P56" t="str">
            <v>Lallemand via IMCD</v>
          </cell>
          <cell r="R56">
            <v>1</v>
          </cell>
          <cell r="T56">
            <v>18</v>
          </cell>
        </row>
        <row r="57">
          <cell r="B57" t="str">
            <v>EX</v>
          </cell>
          <cell r="C57">
            <v>0</v>
          </cell>
          <cell r="D57" t="str">
            <v>[kg]</v>
          </cell>
          <cell r="E57">
            <v>0.73</v>
          </cell>
          <cell r="F57">
            <v>220</v>
          </cell>
          <cell r="G57">
            <v>0.1</v>
          </cell>
          <cell r="H57" t="str">
            <v>kg pack</v>
          </cell>
          <cell r="I57">
            <v>0.46709999999999996</v>
          </cell>
          <cell r="J57">
            <v>0</v>
          </cell>
          <cell r="K57">
            <v>0</v>
          </cell>
          <cell r="L57">
            <v>0</v>
          </cell>
          <cell r="M57" t="str">
            <v>Ch</v>
          </cell>
          <cell r="N57" t="str">
            <v>Microbiology supplier</v>
          </cell>
          <cell r="P57" t="str">
            <v>Lallemand via IMCD</v>
          </cell>
          <cell r="T57">
            <v>0</v>
          </cell>
        </row>
        <row r="58">
          <cell r="B58" t="str">
            <v/>
          </cell>
          <cell r="C58">
            <v>0</v>
          </cell>
          <cell r="D58">
            <v>0</v>
          </cell>
          <cell r="G58">
            <v>0.55000000000000004</v>
          </cell>
          <cell r="H58" t="str">
            <v>kg pack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 t="str">
            <v>Ch</v>
          </cell>
          <cell r="N58" t="str">
            <v>Microbiology supplier</v>
          </cell>
          <cell r="T58">
            <v>0</v>
          </cell>
        </row>
        <row r="59">
          <cell r="B59" t="str">
            <v/>
          </cell>
          <cell r="C59">
            <v>0</v>
          </cell>
          <cell r="D59">
            <v>0</v>
          </cell>
          <cell r="G59">
            <v>0.1</v>
          </cell>
          <cell r="H59" t="str">
            <v>kg pack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Ch</v>
          </cell>
          <cell r="N59" t="str">
            <v>Microbiology supplier</v>
          </cell>
          <cell r="T59">
            <v>0</v>
          </cell>
        </row>
        <row r="60">
          <cell r="B60" t="str">
            <v/>
          </cell>
          <cell r="C60">
            <v>0</v>
          </cell>
          <cell r="D60">
            <v>0</v>
          </cell>
          <cell r="G60">
            <v>0.1</v>
          </cell>
          <cell r="H60" t="str">
            <v>kg pack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 t="str">
            <v>Ch</v>
          </cell>
          <cell r="N60" t="str">
            <v>Microbiology supplier</v>
          </cell>
          <cell r="T60">
            <v>0</v>
          </cell>
        </row>
        <row r="61">
          <cell r="B61" t="str">
            <v/>
          </cell>
          <cell r="C61">
            <v>0</v>
          </cell>
          <cell r="D61">
            <v>0</v>
          </cell>
          <cell r="G61">
            <v>0.1</v>
          </cell>
          <cell r="H61" t="str">
            <v>kg pack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 t="str">
            <v>Ch</v>
          </cell>
          <cell r="N61" t="str">
            <v>Microbiology supplier</v>
          </cell>
          <cell r="T61">
            <v>0</v>
          </cell>
        </row>
        <row r="62">
          <cell r="B62" t="str">
            <v/>
          </cell>
          <cell r="C62">
            <v>0</v>
          </cell>
          <cell r="D62">
            <v>0</v>
          </cell>
          <cell r="G62">
            <v>0.1</v>
          </cell>
          <cell r="H62" t="str">
            <v>kg pack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Ch</v>
          </cell>
          <cell r="N62" t="str">
            <v>Microbiology supplier</v>
          </cell>
          <cell r="T62">
            <v>0</v>
          </cell>
        </row>
        <row r="63">
          <cell r="B63" t="str">
            <v>Tannins</v>
          </cell>
        </row>
        <row r="64">
          <cell r="B64" t="str">
            <v>Oak flour</v>
          </cell>
          <cell r="C64">
            <v>20</v>
          </cell>
          <cell r="D64" t="str">
            <v>[kg]</v>
          </cell>
          <cell r="F64">
            <v>8.5500000000000007</v>
          </cell>
          <cell r="G64">
            <v>10</v>
          </cell>
          <cell r="H64" t="str">
            <v>kg pack</v>
          </cell>
          <cell r="I64">
            <v>19.979999999999997</v>
          </cell>
          <cell r="J64">
            <v>19.979999999999997</v>
          </cell>
          <cell r="K64">
            <v>2</v>
          </cell>
          <cell r="L64">
            <v>171</v>
          </cell>
          <cell r="M64" t="str">
            <v>Ch</v>
          </cell>
          <cell r="N64" t="str">
            <v>Specialist supplier</v>
          </cell>
          <cell r="P64" t="str">
            <v>Vinitech</v>
          </cell>
          <cell r="T64">
            <v>171</v>
          </cell>
        </row>
        <row r="65">
          <cell r="B65" t="str">
            <v>Ferco V</v>
          </cell>
          <cell r="C65">
            <v>0</v>
          </cell>
          <cell r="D65" t="str">
            <v>[kg]</v>
          </cell>
          <cell r="F65">
            <v>65</v>
          </cell>
          <cell r="G65">
            <v>1</v>
          </cell>
          <cell r="H65" t="str">
            <v>kg pack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Ch</v>
          </cell>
          <cell r="N65" t="str">
            <v>Specialist supplier</v>
          </cell>
          <cell r="P65" t="str">
            <v>Vinitech</v>
          </cell>
          <cell r="T65">
            <v>0</v>
          </cell>
        </row>
        <row r="66">
          <cell r="B66" t="str">
            <v>Ferco E</v>
          </cell>
          <cell r="C66">
            <v>0</v>
          </cell>
          <cell r="D66" t="str">
            <v>[kg]</v>
          </cell>
          <cell r="F66">
            <v>65</v>
          </cell>
          <cell r="G66">
            <v>1</v>
          </cell>
          <cell r="H66" t="str">
            <v>kg pack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 t="str">
            <v>Ch</v>
          </cell>
          <cell r="N66" t="str">
            <v>Specialist supplier</v>
          </cell>
          <cell r="P66" t="str">
            <v>Vinitech</v>
          </cell>
          <cell r="T66">
            <v>0</v>
          </cell>
        </row>
        <row r="67">
          <cell r="B67" t="str">
            <v>Ferco S</v>
          </cell>
          <cell r="C67">
            <v>0</v>
          </cell>
          <cell r="D67" t="str">
            <v>[kg]</v>
          </cell>
          <cell r="F67">
            <v>375</v>
          </cell>
          <cell r="G67">
            <v>1</v>
          </cell>
          <cell r="H67" t="str">
            <v>kg pack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 t="str">
            <v>Ch</v>
          </cell>
          <cell r="N67" t="str">
            <v>Specialist supplier</v>
          </cell>
          <cell r="P67" t="str">
            <v>Vinitech</v>
          </cell>
          <cell r="T67">
            <v>0</v>
          </cell>
        </row>
        <row r="68">
          <cell r="B68" t="str">
            <v/>
          </cell>
          <cell r="C68">
            <v>0</v>
          </cell>
          <cell r="D68">
            <v>0</v>
          </cell>
          <cell r="G68">
            <v>1</v>
          </cell>
          <cell r="H68" t="str">
            <v>kg pack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 t="str">
            <v>Ch</v>
          </cell>
          <cell r="N68" t="str">
            <v>Specialist supplier</v>
          </cell>
          <cell r="T68">
            <v>0</v>
          </cell>
        </row>
        <row r="69">
          <cell r="B69" t="str">
            <v/>
          </cell>
          <cell r="C69">
            <v>0</v>
          </cell>
          <cell r="D69">
            <v>0</v>
          </cell>
          <cell r="G69">
            <v>1</v>
          </cell>
          <cell r="H69" t="str">
            <v>kg pack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 t="str">
            <v>Ch</v>
          </cell>
          <cell r="N69" t="str">
            <v>Specialist supplier</v>
          </cell>
          <cell r="T69">
            <v>0</v>
          </cell>
        </row>
        <row r="70">
          <cell r="B70" t="str">
            <v/>
          </cell>
          <cell r="C70">
            <v>0</v>
          </cell>
          <cell r="D70">
            <v>0</v>
          </cell>
          <cell r="G70">
            <v>1</v>
          </cell>
          <cell r="H70" t="str">
            <v>kg pack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 t="str">
            <v>Ch</v>
          </cell>
          <cell r="N70" t="str">
            <v>Specialist supplier</v>
          </cell>
          <cell r="T70">
            <v>0</v>
          </cell>
        </row>
        <row r="71">
          <cell r="B71" t="str">
            <v>Spirit</v>
          </cell>
        </row>
        <row r="72">
          <cell r="B72" t="str">
            <v>Brandy</v>
          </cell>
          <cell r="C72">
            <v>0</v>
          </cell>
          <cell r="D72" t="str">
            <v>[L]</v>
          </cell>
          <cell r="E72">
            <v>1507</v>
          </cell>
          <cell r="F72">
            <v>2.5</v>
          </cell>
          <cell r="G72">
            <v>200</v>
          </cell>
          <cell r="H72" t="str">
            <v>L/drum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 t="str">
            <v>Ch</v>
          </cell>
          <cell r="N72" t="str">
            <v>Specialist supplier</v>
          </cell>
          <cell r="P72" t="str">
            <v>Tarac</v>
          </cell>
          <cell r="T72">
            <v>0</v>
          </cell>
        </row>
        <row r="73">
          <cell r="B73" t="str">
            <v>SVR</v>
          </cell>
          <cell r="C73">
            <v>0</v>
          </cell>
          <cell r="D73" t="str">
            <v>[L]</v>
          </cell>
          <cell r="E73">
            <v>662</v>
          </cell>
          <cell r="F73">
            <v>2.5</v>
          </cell>
          <cell r="G73">
            <v>200</v>
          </cell>
          <cell r="H73" t="str">
            <v>L/drum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 t="str">
            <v>Ch</v>
          </cell>
          <cell r="N73" t="str">
            <v>Specialist supplier</v>
          </cell>
          <cell r="P73" t="str">
            <v>Tarac</v>
          </cell>
          <cell r="T73">
            <v>0</v>
          </cell>
        </row>
      </sheetData>
      <sheetData sheetId="16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BF2" t="str">
            <v>Pack weight (nominal) [g]</v>
          </cell>
          <cell r="BG2">
            <v>250</v>
          </cell>
          <cell r="BH2">
            <v>100</v>
          </cell>
          <cell r="BI2">
            <v>1</v>
          </cell>
          <cell r="BJ2">
            <v>1</v>
          </cell>
          <cell r="BK2">
            <v>100</v>
          </cell>
          <cell r="BL2">
            <v>1</v>
          </cell>
          <cell r="BM2">
            <v>1</v>
          </cell>
          <cell r="BN2">
            <v>1</v>
          </cell>
          <cell r="BZ2" t="str">
            <v>Addition rate [g/L]</v>
          </cell>
          <cell r="CA2">
            <v>1</v>
          </cell>
          <cell r="CB2">
            <v>0.2</v>
          </cell>
          <cell r="CC2">
            <v>0.2</v>
          </cell>
          <cell r="CD2">
            <v>0.2</v>
          </cell>
          <cell r="CE2">
            <v>1</v>
          </cell>
          <cell r="CF2">
            <v>1</v>
          </cell>
          <cell r="CG2">
            <v>1</v>
          </cell>
          <cell r="CH2">
            <v>1</v>
          </cell>
          <cell r="CK2">
            <v>0.22</v>
          </cell>
          <cell r="CL2">
            <v>0.2</v>
          </cell>
        </row>
        <row r="3">
          <cell r="C3" t="str">
            <v>Safety margin</v>
          </cell>
          <cell r="M3" t="str">
            <v>Addition</v>
          </cell>
          <cell r="W3" t="str">
            <v>Settling</v>
          </cell>
          <cell r="X3" t="str">
            <v>Flavour</v>
          </cell>
          <cell r="AN3" t="str">
            <v>RDV</v>
          </cell>
          <cell r="AO3">
            <v>0.02</v>
          </cell>
          <cell r="AP3" t="str">
            <v>[kg/L]</v>
          </cell>
          <cell r="BF3" t="str">
            <v>Wine volume [L]</v>
          </cell>
          <cell r="BG3">
            <v>25000</v>
          </cell>
          <cell r="BH3">
            <v>10000</v>
          </cell>
          <cell r="BK3">
            <v>10000</v>
          </cell>
        </row>
        <row r="4">
          <cell r="C4">
            <v>0.2</v>
          </cell>
          <cell r="M4">
            <v>1</v>
          </cell>
          <cell r="AC4" t="str">
            <v>Sugar</v>
          </cell>
          <cell r="AR4">
            <v>1</v>
          </cell>
          <cell r="AS4">
            <v>2</v>
          </cell>
          <cell r="AT4">
            <v>3</v>
          </cell>
          <cell r="AU4">
            <v>4</v>
          </cell>
          <cell r="AV4">
            <v>5</v>
          </cell>
          <cell r="AW4">
            <v>6</v>
          </cell>
          <cell r="AX4">
            <v>7</v>
          </cell>
          <cell r="AY4">
            <v>8</v>
          </cell>
          <cell r="AZ4">
            <v>9</v>
          </cell>
          <cell r="BA4">
            <v>10</v>
          </cell>
          <cell r="BB4">
            <v>11</v>
          </cell>
          <cell r="BC4">
            <v>12</v>
          </cell>
          <cell r="BD4">
            <v>13</v>
          </cell>
          <cell r="BE4">
            <v>14</v>
          </cell>
          <cell r="BF4">
            <v>1</v>
          </cell>
          <cell r="BG4">
            <v>2</v>
          </cell>
          <cell r="BH4">
            <v>3</v>
          </cell>
          <cell r="BI4">
            <v>4</v>
          </cell>
          <cell r="BJ4">
            <v>5</v>
          </cell>
          <cell r="BK4">
            <v>6</v>
          </cell>
          <cell r="BL4">
            <v>7</v>
          </cell>
          <cell r="BM4">
            <v>8</v>
          </cell>
          <cell r="BN4">
            <v>9</v>
          </cell>
          <cell r="BO4">
            <v>10</v>
          </cell>
          <cell r="BP4">
            <v>1</v>
          </cell>
          <cell r="BQ4">
            <v>2</v>
          </cell>
          <cell r="BR4">
            <v>3</v>
          </cell>
          <cell r="BS4">
            <v>4</v>
          </cell>
          <cell r="BT4">
            <v>5</v>
          </cell>
          <cell r="BU4">
            <v>6</v>
          </cell>
          <cell r="BV4">
            <v>7</v>
          </cell>
          <cell r="BW4">
            <v>8</v>
          </cell>
          <cell r="BX4">
            <v>9</v>
          </cell>
          <cell r="BY4">
            <v>10</v>
          </cell>
          <cell r="BZ4">
            <v>1</v>
          </cell>
          <cell r="CA4">
            <v>2</v>
          </cell>
          <cell r="CB4">
            <v>3</v>
          </cell>
          <cell r="CC4">
            <v>4</v>
          </cell>
          <cell r="CD4">
            <v>5</v>
          </cell>
          <cell r="CE4">
            <v>6</v>
          </cell>
          <cell r="CF4">
            <v>7</v>
          </cell>
          <cell r="CG4">
            <v>8</v>
          </cell>
          <cell r="CH4">
            <v>9</v>
          </cell>
          <cell r="CI4">
            <v>10</v>
          </cell>
          <cell r="CJ4">
            <v>1</v>
          </cell>
          <cell r="CK4">
            <v>2</v>
          </cell>
          <cell r="CL4">
            <v>3</v>
          </cell>
          <cell r="CM4">
            <v>4</v>
          </cell>
        </row>
        <row r="5">
          <cell r="AB5" t="str">
            <v>[g/L]</v>
          </cell>
          <cell r="AC5">
            <v>908</v>
          </cell>
          <cell r="AD5" t="str">
            <v>[g/L]</v>
          </cell>
          <cell r="AE5" t="str">
            <v>[g/L]</v>
          </cell>
          <cell r="AF5" t="str">
            <v>[ppm]</v>
          </cell>
          <cell r="AG5" t="str">
            <v>[L/L]</v>
          </cell>
          <cell r="AL5" t="str">
            <v>Pads/run</v>
          </cell>
          <cell r="AO5" t="str">
            <v>IP4152C</v>
          </cell>
          <cell r="AP5" t="str">
            <v>IP412C</v>
          </cell>
          <cell r="AS5" t="str">
            <v>Yeast and nutrients</v>
          </cell>
          <cell r="BG5" t="str">
            <v>MLF</v>
          </cell>
          <cell r="BQ5" t="str">
            <v>Enzymes</v>
          </cell>
          <cell r="CA5" t="str">
            <v>Tannins</v>
          </cell>
          <cell r="CJ5" t="str">
            <v>Spirit</v>
          </cell>
        </row>
        <row r="6">
          <cell r="C6" t="str">
            <v>SO2 as PMS</v>
          </cell>
          <cell r="D6" t="str">
            <v>KHT</v>
          </cell>
          <cell r="E6" t="str">
            <v>CMC</v>
          </cell>
          <cell r="F6" t="str">
            <v>Ascorbic acid</v>
          </cell>
          <cell r="G6" t="str">
            <v>Citric</v>
          </cell>
          <cell r="H6" t="str">
            <v>Malic</v>
          </cell>
          <cell r="I6" t="str">
            <v>Tartaric</v>
          </cell>
          <cell r="J6" t="str">
            <v>Potassium Carbonate</v>
          </cell>
          <cell r="K6" t="str">
            <v>Flottogel</v>
          </cell>
          <cell r="L6" t="str">
            <v>DAP</v>
          </cell>
          <cell r="M6" t="str">
            <v>PVPP</v>
          </cell>
          <cell r="N6" t="str">
            <v>Vinifying tannin</v>
          </cell>
          <cell r="O6" t="str">
            <v>Elevage tannin</v>
          </cell>
          <cell r="P6" t="str">
            <v>Finishing tannin</v>
          </cell>
          <cell r="Q6" t="str">
            <v>Oak flour</v>
          </cell>
          <cell r="R6" t="str">
            <v>Gelatin</v>
          </cell>
          <cell r="S6" t="str">
            <v>Egg white</v>
          </cell>
          <cell r="T6" t="str">
            <v>Skim milk</v>
          </cell>
          <cell r="U6" t="str">
            <v>Isinglass</v>
          </cell>
          <cell r="V6" t="str">
            <v>Yeast nutrient</v>
          </cell>
          <cell r="W6" t="str">
            <v>Settling enzyme</v>
          </cell>
          <cell r="X6" t="str">
            <v>Extraction enzyme</v>
          </cell>
          <cell r="Y6" t="str">
            <v>MLF</v>
          </cell>
          <cell r="Z6" t="str">
            <v>MLF nutrient</v>
          </cell>
          <cell r="AA6" t="str">
            <v>YeastTotal</v>
          </cell>
          <cell r="AB6" t="str">
            <v>Tirage sugar</v>
          </cell>
          <cell r="AC6" t="str">
            <v>Neutral Concentrate</v>
          </cell>
          <cell r="AD6" t="str">
            <v>MuscatG Concentrate</v>
          </cell>
          <cell r="AE6" t="str">
            <v>Bentonite</v>
          </cell>
          <cell r="AF6" t="str">
            <v>Inoclair 2</v>
          </cell>
          <cell r="AG6" t="str">
            <v>Fortifying spirit</v>
          </cell>
          <cell r="AH6" t="str">
            <v>Alcool</v>
          </cell>
          <cell r="AI6" t="str">
            <v>Soda ash</v>
          </cell>
          <cell r="AJ6" t="str">
            <v>Caustic drums</v>
          </cell>
          <cell r="AK6" t="str">
            <v>Oxyper</v>
          </cell>
          <cell r="AL6" t="str">
            <v>Coarse pads</v>
          </cell>
          <cell r="AM6" t="str">
            <v>Fine pads</v>
          </cell>
          <cell r="AN6" t="str">
            <v>Cellulose</v>
          </cell>
          <cell r="AO6" t="str">
            <v>Coarse earth</v>
          </cell>
          <cell r="AP6" t="str">
            <v>Fine earth</v>
          </cell>
          <cell r="AS6" t="str">
            <v>PDM</v>
          </cell>
          <cell r="AT6" t="str">
            <v>Alchemy II</v>
          </cell>
          <cell r="AU6" t="str">
            <v>AWRI 350</v>
          </cell>
          <cell r="AV6" t="str">
            <v>Cru Blanc</v>
          </cell>
          <cell r="AW6" t="str">
            <v>Platinum</v>
          </cell>
          <cell r="AX6" t="str">
            <v>Cross Evo</v>
          </cell>
          <cell r="AY6" t="str">
            <v>GHM</v>
          </cell>
          <cell r="BA6" t="str">
            <v>Rhythm</v>
          </cell>
          <cell r="BB6" t="str">
            <v>Melody</v>
          </cell>
          <cell r="BC6" t="str">
            <v>FermControl</v>
          </cell>
          <cell r="BD6" t="str">
            <v>Cerevit</v>
          </cell>
          <cell r="BG6" t="str">
            <v>CH16</v>
          </cell>
          <cell r="BH6" t="str">
            <v>VP41</v>
          </cell>
          <cell r="BI6" t="str">
            <v>OptiMalo</v>
          </cell>
          <cell r="BJ6" t="str">
            <v>ActiML</v>
          </cell>
          <cell r="BK6" t="str">
            <v>PN4</v>
          </cell>
          <cell r="BQ6" t="str">
            <v>HC</v>
          </cell>
          <cell r="BR6" t="str">
            <v>EX</v>
          </cell>
          <cell r="CA6" t="str">
            <v>Oak flour</v>
          </cell>
          <cell r="CB6" t="str">
            <v>Ferco V</v>
          </cell>
          <cell r="CC6" t="str">
            <v>Ferco E</v>
          </cell>
          <cell r="CD6" t="str">
            <v>Ferco S</v>
          </cell>
          <cell r="CK6" t="str">
            <v>Brandy</v>
          </cell>
          <cell r="CL6" t="str">
            <v>SVR</v>
          </cell>
        </row>
        <row r="7">
          <cell r="B7" t="str">
            <v>Conversion Factors</v>
          </cell>
          <cell r="C7">
            <v>1.9999999999999999E-6</v>
          </cell>
          <cell r="D7">
            <v>1E-3</v>
          </cell>
          <cell r="E7">
            <v>1</v>
          </cell>
          <cell r="F7">
            <v>9.9999999999999995E-7</v>
          </cell>
          <cell r="G7">
            <v>1E-3</v>
          </cell>
          <cell r="H7">
            <v>1E-3</v>
          </cell>
          <cell r="I7">
            <v>1E-3</v>
          </cell>
          <cell r="J7">
            <v>1E-3</v>
          </cell>
          <cell r="K7">
            <v>9.9999999999999995E-7</v>
          </cell>
          <cell r="L7">
            <v>9.9999999999999995E-7</v>
          </cell>
          <cell r="M7">
            <v>9.9999999999999995E-7</v>
          </cell>
          <cell r="N7">
            <v>1E-3</v>
          </cell>
          <cell r="O7">
            <v>1E-3</v>
          </cell>
          <cell r="P7">
            <v>9.9999999999999995E-7</v>
          </cell>
          <cell r="Q7">
            <v>1E-3</v>
          </cell>
          <cell r="R7">
            <v>3.3333333333333333E-6</v>
          </cell>
          <cell r="S7">
            <v>2.7777777777777779E-6</v>
          </cell>
          <cell r="T7">
            <v>9.9999999999999995E-7</v>
          </cell>
          <cell r="U7">
            <v>9.9999999999999995E-7</v>
          </cell>
          <cell r="V7">
            <v>9.9999999999999995E-7</v>
          </cell>
          <cell r="W7">
            <v>9.9999999999999995E-7</v>
          </cell>
          <cell r="X7">
            <v>9.9999999999999995E-7</v>
          </cell>
          <cell r="Y7">
            <v>1E-3</v>
          </cell>
          <cell r="Z7">
            <v>9.9999999999999995E-7</v>
          </cell>
          <cell r="AA7">
            <v>9.9999999999999995E-7</v>
          </cell>
          <cell r="AB7">
            <v>1E-3</v>
          </cell>
          <cell r="AE7">
            <v>1E-3</v>
          </cell>
          <cell r="AF7">
            <v>6.0999999999999999E-5</v>
          </cell>
          <cell r="AG7">
            <v>0.2</v>
          </cell>
          <cell r="AL7">
            <v>24</v>
          </cell>
          <cell r="AN7">
            <v>2.0000000000000001E-4</v>
          </cell>
          <cell r="AO7">
            <v>1.5E-3</v>
          </cell>
          <cell r="AP7">
            <v>1.5E-3</v>
          </cell>
        </row>
        <row r="9">
          <cell r="B9" t="str">
            <v>WhiteFerment</v>
          </cell>
          <cell r="C9">
            <v>10.96668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5.1000000000000005</v>
          </cell>
          <cell r="J9">
            <v>0</v>
          </cell>
          <cell r="K9">
            <v>2.5739999999999998</v>
          </cell>
          <cell r="L9">
            <v>0</v>
          </cell>
          <cell r="M9">
            <v>8.5965000000000007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14.040000000000001</v>
          </cell>
          <cell r="W9">
            <v>0.93600000000000005</v>
          </cell>
          <cell r="X9">
            <v>1.4039999999999999</v>
          </cell>
          <cell r="Y9">
            <v>468</v>
          </cell>
          <cell r="Z9">
            <v>9.3600000000000012</v>
          </cell>
          <cell r="AB9">
            <v>0</v>
          </cell>
          <cell r="AC9">
            <v>0</v>
          </cell>
          <cell r="AD9">
            <v>0</v>
          </cell>
          <cell r="AE9">
            <v>8.9177999999999997</v>
          </cell>
          <cell r="AF9">
            <v>0</v>
          </cell>
          <cell r="AG9">
            <v>0</v>
          </cell>
          <cell r="AL9">
            <v>0</v>
          </cell>
          <cell r="AM9">
            <v>0</v>
          </cell>
          <cell r="AO9">
            <v>0</v>
          </cell>
          <cell r="AP9">
            <v>0</v>
          </cell>
          <cell r="AS9">
            <v>0.13</v>
          </cell>
          <cell r="AT9">
            <v>2.34</v>
          </cell>
          <cell r="AU9">
            <v>0.255</v>
          </cell>
          <cell r="AV9">
            <v>0</v>
          </cell>
          <cell r="AW9">
            <v>6.1199999999999992</v>
          </cell>
          <cell r="AX9">
            <v>0.255</v>
          </cell>
          <cell r="AY9">
            <v>0.26</v>
          </cell>
          <cell r="AZ9">
            <v>0</v>
          </cell>
          <cell r="BA9">
            <v>0</v>
          </cell>
          <cell r="BB9">
            <v>0</v>
          </cell>
          <cell r="BC9">
            <v>14.040000000000001</v>
          </cell>
          <cell r="BD9">
            <v>0</v>
          </cell>
          <cell r="BG9">
            <v>0</v>
          </cell>
          <cell r="BH9">
            <v>73.95</v>
          </cell>
          <cell r="BI9">
            <v>0</v>
          </cell>
          <cell r="BJ9">
            <v>0</v>
          </cell>
          <cell r="BK9">
            <v>79.8</v>
          </cell>
          <cell r="BL9">
            <v>0</v>
          </cell>
          <cell r="BM9">
            <v>0</v>
          </cell>
          <cell r="BN9">
            <v>0</v>
          </cell>
          <cell r="BQ9">
            <v>0.93600000000000005</v>
          </cell>
          <cell r="BR9">
            <v>0.38924999999999998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</row>
        <row r="10">
          <cell r="B10" t="str">
            <v>WhiteBottling</v>
          </cell>
          <cell r="C10">
            <v>3.8536999999999999</v>
          </cell>
          <cell r="D10">
            <v>4.5</v>
          </cell>
          <cell r="E10">
            <v>59.073999999999998</v>
          </cell>
          <cell r="F10">
            <v>6.9074</v>
          </cell>
          <cell r="G10">
            <v>0</v>
          </cell>
          <cell r="H10">
            <v>0</v>
          </cell>
          <cell r="I10">
            <v>0</v>
          </cell>
          <cell r="J10">
            <v>10.43975</v>
          </cell>
          <cell r="K10">
            <v>0</v>
          </cell>
          <cell r="L10">
            <v>0</v>
          </cell>
          <cell r="M10">
            <v>0.99177624999999991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9.9177624999999998E-3</v>
          </cell>
          <cell r="U10">
            <v>1.345473125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78.631500000000003</v>
          </cell>
          <cell r="AF10">
            <v>0</v>
          </cell>
          <cell r="AG10">
            <v>0</v>
          </cell>
          <cell r="AL10">
            <v>168</v>
          </cell>
          <cell r="AM10">
            <v>168</v>
          </cell>
          <cell r="AN10">
            <v>7.7074000000000007</v>
          </cell>
          <cell r="AO10">
            <v>57.805500000000002</v>
          </cell>
          <cell r="AP10">
            <v>57.805500000000002</v>
          </cell>
        </row>
        <row r="11">
          <cell r="B11" t="str">
            <v>RedFerment</v>
          </cell>
          <cell r="C11">
            <v>3.9560399999999998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55.5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16.649999999999999</v>
          </cell>
          <cell r="O11">
            <v>16.317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6.6599999999999993</v>
          </cell>
          <cell r="W11">
            <v>0</v>
          </cell>
          <cell r="X11">
            <v>0.4995</v>
          </cell>
          <cell r="Y11">
            <v>166.5</v>
          </cell>
          <cell r="Z11">
            <v>3.3299999999999996</v>
          </cell>
          <cell r="AA11">
            <v>3.3299999999999996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3263.4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2.7749999999999995</v>
          </cell>
          <cell r="BB11">
            <v>0.55499999999999994</v>
          </cell>
          <cell r="BC11">
            <v>6.6599999999999993</v>
          </cell>
          <cell r="BD11">
            <v>0</v>
          </cell>
          <cell r="BG11">
            <v>0</v>
          </cell>
          <cell r="BH11">
            <v>166.5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CA11">
            <v>16.649999999999999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K11">
            <v>0</v>
          </cell>
          <cell r="CL11">
            <v>0</v>
          </cell>
        </row>
        <row r="12">
          <cell r="B12" t="str">
            <v>RedBottling</v>
          </cell>
          <cell r="C12">
            <v>3.1376124999999999</v>
          </cell>
          <cell r="D12">
            <v>15.688062500000001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7.8440312500000005</v>
          </cell>
          <cell r="J12">
            <v>7.8440312500000005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4.3577951388888891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L12">
            <v>48</v>
          </cell>
          <cell r="AM12">
            <v>48</v>
          </cell>
          <cell r="AN12">
            <v>6.2752250000000007</v>
          </cell>
          <cell r="AO12">
            <v>47.064187500000003</v>
          </cell>
          <cell r="AP12">
            <v>47.064187500000003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</row>
        <row r="13">
          <cell r="B13" t="str">
            <v>FortBottling</v>
          </cell>
          <cell r="C13">
            <v>0.12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1.2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L13">
            <v>48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</row>
        <row r="14">
          <cell r="B14" t="str">
            <v>SparkBottling</v>
          </cell>
          <cell r="C14">
            <v>0.48189599999999999</v>
          </cell>
          <cell r="D14">
            <v>0</v>
          </cell>
          <cell r="E14">
            <v>9.6379200000000012</v>
          </cell>
          <cell r="F14">
            <v>0</v>
          </cell>
          <cell r="G14">
            <v>0.48189600000000005</v>
          </cell>
          <cell r="H14">
            <v>1.2047400000000001</v>
          </cell>
          <cell r="I14">
            <v>1.2047400000000001</v>
          </cell>
          <cell r="J14">
            <v>0</v>
          </cell>
          <cell r="K14">
            <v>0</v>
          </cell>
          <cell r="L14">
            <v>0</v>
          </cell>
          <cell r="M14">
            <v>0.240948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125.29296000000001</v>
          </cell>
          <cell r="AC14">
            <v>0</v>
          </cell>
          <cell r="AD14">
            <v>0</v>
          </cell>
          <cell r="AE14">
            <v>4.8189600000000006</v>
          </cell>
          <cell r="AF14">
            <v>0.29395655999999998</v>
          </cell>
          <cell r="AG14">
            <v>0</v>
          </cell>
          <cell r="AL14">
            <v>24</v>
          </cell>
          <cell r="AM14">
            <v>24</v>
          </cell>
          <cell r="AN14">
            <v>0.96379200000000009</v>
          </cell>
          <cell r="AO14">
            <v>7.22844</v>
          </cell>
          <cell r="AP14">
            <v>7.22844</v>
          </cell>
        </row>
        <row r="17">
          <cell r="B17" t="str">
            <v>Cleaning, topup etc</v>
          </cell>
          <cell r="C17">
            <v>50</v>
          </cell>
          <cell r="G17">
            <v>300</v>
          </cell>
          <cell r="AI17">
            <v>250</v>
          </cell>
          <cell r="AJ17">
            <v>3</v>
          </cell>
          <cell r="AK17">
            <v>600</v>
          </cell>
          <cell r="AL17">
            <v>48</v>
          </cell>
          <cell r="AM17">
            <v>48</v>
          </cell>
          <cell r="AO17">
            <v>100</v>
          </cell>
          <cell r="AP17">
            <v>100</v>
          </cell>
          <cell r="AS17">
            <v>5</v>
          </cell>
          <cell r="BA17">
            <v>1</v>
          </cell>
          <cell r="BB17">
            <v>1</v>
          </cell>
          <cell r="BD17">
            <v>0.5</v>
          </cell>
          <cell r="BI17">
            <v>2</v>
          </cell>
          <cell r="BJ17">
            <v>2</v>
          </cell>
        </row>
        <row r="18">
          <cell r="C18" t="str">
            <v>[kg]</v>
          </cell>
          <cell r="D18" t="str">
            <v>[kg]</v>
          </cell>
          <cell r="E18" t="str">
            <v>[kg]</v>
          </cell>
          <cell r="F18" t="str">
            <v>[kg]</v>
          </cell>
          <cell r="G18" t="str">
            <v>[kg]</v>
          </cell>
          <cell r="H18" t="str">
            <v>[kg]</v>
          </cell>
          <cell r="I18" t="str">
            <v>[kg]</v>
          </cell>
          <cell r="J18" t="str">
            <v>[kg]</v>
          </cell>
          <cell r="K18" t="str">
            <v>[kg]</v>
          </cell>
          <cell r="L18" t="str">
            <v>[kg]</v>
          </cell>
          <cell r="M18" t="str">
            <v>[kg]</v>
          </cell>
          <cell r="N18" t="str">
            <v>[kg]</v>
          </cell>
          <cell r="O18" t="str">
            <v>[kg]</v>
          </cell>
          <cell r="P18" t="str">
            <v>[kg]</v>
          </cell>
          <cell r="Q18" t="str">
            <v>[kg]</v>
          </cell>
          <cell r="R18" t="str">
            <v>[L]</v>
          </cell>
          <cell r="S18" t="str">
            <v>[dozens]</v>
          </cell>
          <cell r="T18" t="str">
            <v>[L]</v>
          </cell>
          <cell r="U18" t="str">
            <v>[kg]</v>
          </cell>
          <cell r="V18" t="str">
            <v>[kg]</v>
          </cell>
          <cell r="W18" t="str">
            <v>[kg]</v>
          </cell>
          <cell r="X18" t="str">
            <v>[kg]</v>
          </cell>
          <cell r="Y18" t="str">
            <v>[packs]</v>
          </cell>
          <cell r="Z18" t="str">
            <v>[kg]</v>
          </cell>
          <cell r="AB18" t="str">
            <v>[kg]</v>
          </cell>
          <cell r="AC18" t="str">
            <v>[L]</v>
          </cell>
          <cell r="AD18" t="str">
            <v>[L]</v>
          </cell>
          <cell r="AE18" t="str">
            <v>[kg]</v>
          </cell>
          <cell r="AF18" t="str">
            <v>[kg]</v>
          </cell>
          <cell r="AG18" t="str">
            <v>[L]</v>
          </cell>
          <cell r="AH18" t="str">
            <v>drums</v>
          </cell>
          <cell r="AI18" t="str">
            <v>[kg]</v>
          </cell>
          <cell r="AK18" t="str">
            <v>[kg]</v>
          </cell>
          <cell r="AL18" t="str">
            <v>sheets</v>
          </cell>
          <cell r="AM18" t="str">
            <v>sheets</v>
          </cell>
          <cell r="AN18" t="str">
            <v>[kg]</v>
          </cell>
          <cell r="AO18" t="str">
            <v>[kg]</v>
          </cell>
          <cell r="AP18" t="str">
            <v>[kg]</v>
          </cell>
          <cell r="AS18" t="str">
            <v>[kg]</v>
          </cell>
          <cell r="BG18" t="str">
            <v>[packs]</v>
          </cell>
          <cell r="BH18" t="str">
            <v>[packs]</v>
          </cell>
          <cell r="BI18" t="str">
            <v>[kg]</v>
          </cell>
          <cell r="BJ18" t="str">
            <v>[kg]</v>
          </cell>
          <cell r="BK18" t="str">
            <v>[packs]</v>
          </cell>
          <cell r="BL18" t="str">
            <v>[kg]</v>
          </cell>
          <cell r="BM18" t="str">
            <v>[kg]</v>
          </cell>
          <cell r="BN18" t="str">
            <v>[kg]</v>
          </cell>
          <cell r="BQ18" t="str">
            <v>[kg]</v>
          </cell>
          <cell r="BR18" t="str">
            <v>[kg]</v>
          </cell>
          <cell r="BS18" t="str">
            <v>[kg]</v>
          </cell>
          <cell r="BT18" t="str">
            <v>[kg]</v>
          </cell>
          <cell r="BU18" t="str">
            <v>[kg]</v>
          </cell>
          <cell r="BV18" t="str">
            <v>[kg]</v>
          </cell>
          <cell r="BW18" t="str">
            <v>[kg]</v>
          </cell>
          <cell r="BX18" t="str">
            <v>[kg]</v>
          </cell>
          <cell r="CA18" t="str">
            <v>[kg]</v>
          </cell>
          <cell r="CB18" t="str">
            <v>[kg]</v>
          </cell>
          <cell r="CC18" t="str">
            <v>[kg]</v>
          </cell>
          <cell r="CD18" t="str">
            <v>[kg]</v>
          </cell>
          <cell r="CE18" t="str">
            <v>[kg]</v>
          </cell>
          <cell r="CF18" t="str">
            <v>[kg]</v>
          </cell>
          <cell r="CG18" t="str">
            <v>[kg]</v>
          </cell>
          <cell r="CH18" t="str">
            <v>[kg]</v>
          </cell>
          <cell r="CK18" t="str">
            <v>[kg]</v>
          </cell>
          <cell r="CL18" t="str">
            <v>[kg]</v>
          </cell>
        </row>
        <row r="19">
          <cell r="B19" t="str">
            <v>Vintage requirements</v>
          </cell>
          <cell r="C19">
            <v>77.019114200000004</v>
          </cell>
          <cell r="D19">
            <v>24.225674999999999</v>
          </cell>
          <cell r="E19">
            <v>82.454303999999993</v>
          </cell>
          <cell r="F19">
            <v>8.2888799999999989</v>
          </cell>
          <cell r="G19">
            <v>300.57827520000001</v>
          </cell>
          <cell r="H19">
            <v>1.4456880000000001</v>
          </cell>
          <cell r="I19">
            <v>85.018525499999996</v>
          </cell>
          <cell r="J19">
            <v>21.940537500000001</v>
          </cell>
          <cell r="K19">
            <v>3.0887999999999995</v>
          </cell>
          <cell r="L19">
            <v>0</v>
          </cell>
          <cell r="M19">
            <v>11.795069099999999</v>
          </cell>
          <cell r="N19">
            <v>19.979999999999997</v>
          </cell>
          <cell r="O19">
            <v>19.580400000000001</v>
          </cell>
          <cell r="P19">
            <v>0</v>
          </cell>
          <cell r="Q19">
            <v>0</v>
          </cell>
          <cell r="R19">
            <v>0</v>
          </cell>
          <cell r="S19">
            <v>5.229354166666667</v>
          </cell>
          <cell r="T19">
            <v>1.1901314999999999E-2</v>
          </cell>
          <cell r="U19">
            <v>1.61456775</v>
          </cell>
          <cell r="V19">
            <v>24.84</v>
          </cell>
          <cell r="W19">
            <v>1.1232</v>
          </cell>
          <cell r="X19">
            <v>2.2841999999999998</v>
          </cell>
          <cell r="Y19">
            <v>761.4</v>
          </cell>
          <cell r="Z19">
            <v>15.228000000000002</v>
          </cell>
          <cell r="AA19">
            <v>3.9959999999999996</v>
          </cell>
          <cell r="AB19">
            <v>150.351552</v>
          </cell>
          <cell r="AC19">
            <v>0</v>
          </cell>
          <cell r="AD19">
            <v>0</v>
          </cell>
          <cell r="AE19">
            <v>110.84191200000001</v>
          </cell>
          <cell r="AF19">
            <v>0.35274787199999996</v>
          </cell>
          <cell r="AG19">
            <v>3916.08</v>
          </cell>
          <cell r="AH19">
            <v>0</v>
          </cell>
          <cell r="AI19">
            <v>250</v>
          </cell>
          <cell r="AJ19">
            <v>3</v>
          </cell>
          <cell r="AK19">
            <v>600</v>
          </cell>
          <cell r="AL19">
            <v>393.59999999999997</v>
          </cell>
          <cell r="AM19">
            <v>336</v>
          </cell>
          <cell r="AN19">
            <v>17.935700400000002</v>
          </cell>
          <cell r="AO19">
            <v>234.517753</v>
          </cell>
          <cell r="AP19">
            <v>234.517753</v>
          </cell>
          <cell r="AS19">
            <v>5.1559999999999997</v>
          </cell>
          <cell r="AT19">
            <v>2.8079999999999998</v>
          </cell>
          <cell r="AU19">
            <v>0.30599999999999999</v>
          </cell>
          <cell r="AV19">
            <v>0</v>
          </cell>
          <cell r="AW19">
            <v>7.3439999999999985</v>
          </cell>
          <cell r="AX19">
            <v>0.30599999999999999</v>
          </cell>
          <cell r="AY19">
            <v>0.312</v>
          </cell>
          <cell r="AZ19">
            <v>0</v>
          </cell>
          <cell r="BA19">
            <v>4.3299999999999992</v>
          </cell>
          <cell r="BB19">
            <v>1.6659999999999999</v>
          </cell>
          <cell r="BC19">
            <v>24.84</v>
          </cell>
          <cell r="BD19">
            <v>0.5</v>
          </cell>
          <cell r="BG19">
            <v>0</v>
          </cell>
          <cell r="BH19">
            <v>2.8854000000000002</v>
          </cell>
          <cell r="BI19">
            <v>2</v>
          </cell>
          <cell r="BJ19">
            <v>2</v>
          </cell>
          <cell r="BK19">
            <v>0.95760000000000001</v>
          </cell>
          <cell r="BL19">
            <v>0</v>
          </cell>
          <cell r="BM19">
            <v>0</v>
          </cell>
          <cell r="BN19">
            <v>0</v>
          </cell>
          <cell r="BQ19">
            <v>1.1232</v>
          </cell>
          <cell r="BR19">
            <v>0.46709999999999996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CA19">
            <v>19.979999999999997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K19">
            <v>0</v>
          </cell>
          <cell r="CL19">
            <v>0</v>
          </cell>
        </row>
        <row r="21">
          <cell r="BF21">
            <v>16</v>
          </cell>
          <cell r="BG21">
            <v>4.0000000000000001E-3</v>
          </cell>
          <cell r="BH21">
            <v>0.01</v>
          </cell>
          <cell r="BI21">
            <v>1</v>
          </cell>
          <cell r="BJ21">
            <v>1</v>
          </cell>
          <cell r="BK21">
            <v>0.01</v>
          </cell>
          <cell r="BL21">
            <v>1</v>
          </cell>
          <cell r="BM21">
            <v>1</v>
          </cell>
          <cell r="BN21">
            <v>1</v>
          </cell>
        </row>
      </sheetData>
      <sheetData sheetId="17">
        <row r="2">
          <cell r="A2" t="str">
            <v>EUR</v>
          </cell>
          <cell r="B2">
            <v>0.64935064935064934</v>
          </cell>
          <cell r="D2" t="str">
            <v>Type</v>
          </cell>
          <cell r="E2" t="str">
            <v>Name</v>
          </cell>
          <cell r="F2" t="str">
            <v>Volume</v>
          </cell>
          <cell r="G2" t="str">
            <v>Length</v>
          </cell>
          <cell r="H2" t="str">
            <v>Width</v>
          </cell>
          <cell r="I2" t="str">
            <v>Thickness</v>
          </cell>
          <cell r="J2" t="str">
            <v>Area</v>
          </cell>
          <cell r="K2" t="str">
            <v>SpArea</v>
          </cell>
        </row>
        <row r="3">
          <cell r="A3" t="str">
            <v>USD</v>
          </cell>
          <cell r="B3">
            <v>0.98</v>
          </cell>
          <cell r="D3" t="str">
            <v>H</v>
          </cell>
          <cell r="E3" t="str">
            <v>Hogshead</v>
          </cell>
          <cell r="F3">
            <v>310</v>
          </cell>
          <cell r="J3">
            <v>2.2999999999999998</v>
          </cell>
        </row>
        <row r="4">
          <cell r="D4" t="str">
            <v>P</v>
          </cell>
          <cell r="E4" t="str">
            <v>Puncheon</v>
          </cell>
          <cell r="F4">
            <v>500</v>
          </cell>
          <cell r="J4">
            <v>3.3</v>
          </cell>
        </row>
        <row r="5">
          <cell r="D5" t="str">
            <v>TI</v>
          </cell>
          <cell r="E5" t="str">
            <v>Innerstave</v>
          </cell>
          <cell r="G5">
            <v>2032</v>
          </cell>
          <cell r="H5">
            <v>150</v>
          </cell>
          <cell r="I5">
            <v>10</v>
          </cell>
          <cell r="J5">
            <v>0.65324000000000004</v>
          </cell>
          <cell r="K5">
            <v>1.1357777905072678E-2</v>
          </cell>
        </row>
        <row r="6">
          <cell r="D6" t="str">
            <v>TR</v>
          </cell>
          <cell r="E6" t="str">
            <v>Reclaimed oak staves</v>
          </cell>
          <cell r="J6">
            <v>9.1999999999999993</v>
          </cell>
          <cell r="K6">
            <v>8.0645161290322581E-4</v>
          </cell>
        </row>
        <row r="7">
          <cell r="D7" t="str">
            <v>TE</v>
          </cell>
          <cell r="E7" t="str">
            <v>Evoak tank planks</v>
          </cell>
          <cell r="J7">
            <v>1.9950000000000001</v>
          </cell>
          <cell r="K7">
            <v>3.7189748564960788E-3</v>
          </cell>
        </row>
        <row r="8">
          <cell r="D8" t="str">
            <v>TS</v>
          </cell>
          <cell r="E8" t="str">
            <v>Seguin-Moreau barrel staves</v>
          </cell>
          <cell r="J8">
            <v>3</v>
          </cell>
          <cell r="K8">
            <v>2.1999999999999997E-3</v>
          </cell>
        </row>
        <row r="9">
          <cell r="D9" t="str">
            <v>BE</v>
          </cell>
          <cell r="E9" t="str">
            <v>Evoak barrel inserts</v>
          </cell>
          <cell r="J9">
            <v>0.68</v>
          </cell>
        </row>
        <row r="13">
          <cell r="A13" t="str">
            <v>BarrelCode</v>
          </cell>
          <cell r="B13" t="str">
            <v>Type</v>
          </cell>
          <cell r="C13" t="str">
            <v>Brand</v>
          </cell>
          <cell r="D13" t="str">
            <v>Type</v>
          </cell>
          <cell r="E13" t="str">
            <v>Note</v>
          </cell>
          <cell r="F13" t="str">
            <v>Base Price</v>
          </cell>
          <cell r="G13" t="str">
            <v>Additions - fixed</v>
          </cell>
          <cell r="H13" t="str">
            <v>Addition - percent</v>
          </cell>
          <cell r="J13" t="str">
            <v>Forex Rate</v>
          </cell>
          <cell r="K13" t="str">
            <v>Cost</v>
          </cell>
          <cell r="L13" t="str">
            <v>AreaEquiv</v>
          </cell>
          <cell r="M13" t="str">
            <v>Volume</v>
          </cell>
          <cell r="N13" t="str">
            <v>Number</v>
          </cell>
          <cell r="O13" t="str">
            <v>TotalCost</v>
          </cell>
        </row>
        <row r="14">
          <cell r="A14" t="str">
            <v>FH-Hein</v>
          </cell>
          <cell r="B14" t="str">
            <v>H</v>
          </cell>
          <cell r="C14" t="str">
            <v>Heinrich</v>
          </cell>
          <cell r="D14" t="str">
            <v>French</v>
          </cell>
          <cell r="E14" t="str">
            <v>Fine grain + 36 Season</v>
          </cell>
          <cell r="F14">
            <v>785</v>
          </cell>
          <cell r="G14">
            <v>40</v>
          </cell>
          <cell r="I14" t="str">
            <v>EUR</v>
          </cell>
          <cell r="J14">
            <v>0.64935064935064934</v>
          </cell>
          <cell r="K14">
            <v>1270.5</v>
          </cell>
          <cell r="L14">
            <v>0</v>
          </cell>
          <cell r="M14">
            <v>310</v>
          </cell>
          <cell r="N14">
            <v>0</v>
          </cell>
          <cell r="O14">
            <v>0</v>
          </cell>
        </row>
        <row r="15">
          <cell r="A15" t="str">
            <v>FH-WC</v>
          </cell>
          <cell r="B15" t="str">
            <v>H</v>
          </cell>
          <cell r="C15" t="str">
            <v>World Cooperage</v>
          </cell>
          <cell r="D15" t="str">
            <v>French</v>
          </cell>
          <cell r="E15" t="str">
            <v>Profile ? + 36 Season</v>
          </cell>
          <cell r="F15">
            <v>1165</v>
          </cell>
          <cell r="G15">
            <v>80</v>
          </cell>
          <cell r="I15" t="str">
            <v>EUR</v>
          </cell>
          <cell r="J15">
            <v>0.64935064935064934</v>
          </cell>
          <cell r="K15">
            <v>1917.3</v>
          </cell>
          <cell r="L15">
            <v>0</v>
          </cell>
          <cell r="M15">
            <v>310</v>
          </cell>
          <cell r="N15">
            <v>0</v>
          </cell>
          <cell r="O15">
            <v>0</v>
          </cell>
        </row>
        <row r="16">
          <cell r="A16" t="str">
            <v>AH-WC</v>
          </cell>
          <cell r="B16" t="str">
            <v>H</v>
          </cell>
          <cell r="C16" t="str">
            <v>World Cooperage</v>
          </cell>
          <cell r="D16" t="str">
            <v>American</v>
          </cell>
          <cell r="E16" t="str">
            <v>Profile 61 + 36 Season + EFG</v>
          </cell>
          <cell r="F16">
            <v>755</v>
          </cell>
          <cell r="G16">
            <v>110</v>
          </cell>
          <cell r="I16" t="str">
            <v>USD</v>
          </cell>
          <cell r="J16">
            <v>0.98</v>
          </cell>
          <cell r="K16">
            <v>882.65306122448976</v>
          </cell>
          <cell r="L16">
            <v>0</v>
          </cell>
          <cell r="M16">
            <v>310</v>
          </cell>
          <cell r="N16">
            <v>0</v>
          </cell>
          <cell r="O16">
            <v>0</v>
          </cell>
        </row>
        <row r="17">
          <cell r="A17" t="str">
            <v>FH-TQ</v>
          </cell>
          <cell r="B17" t="str">
            <v>H</v>
          </cell>
          <cell r="C17" t="str">
            <v>Tonnellerie Quintessence</v>
          </cell>
          <cell r="D17" t="str">
            <v>French</v>
          </cell>
          <cell r="E17" t="str">
            <v>Long + 36 Season</v>
          </cell>
          <cell r="F17">
            <v>845</v>
          </cell>
          <cell r="G17">
            <v>40</v>
          </cell>
          <cell r="I17" t="str">
            <v>EUR</v>
          </cell>
          <cell r="J17">
            <v>0.64935064935064934</v>
          </cell>
          <cell r="K17">
            <v>1362.9</v>
          </cell>
          <cell r="L17">
            <v>0</v>
          </cell>
          <cell r="M17">
            <v>310</v>
          </cell>
          <cell r="N17">
            <v>5</v>
          </cell>
          <cell r="O17">
            <v>6814.5</v>
          </cell>
        </row>
        <row r="18">
          <cell r="A18" t="str">
            <v>FH-Rad</v>
          </cell>
          <cell r="B18" t="str">
            <v>H</v>
          </cell>
          <cell r="C18" t="str">
            <v>Radoux</v>
          </cell>
          <cell r="D18" t="str">
            <v>French</v>
          </cell>
          <cell r="F18">
            <v>835</v>
          </cell>
          <cell r="I18" t="str">
            <v>EUR</v>
          </cell>
          <cell r="J18">
            <v>0.64935064935064934</v>
          </cell>
          <cell r="K18">
            <v>1285.9000000000001</v>
          </cell>
          <cell r="L18">
            <v>0</v>
          </cell>
          <cell r="M18">
            <v>310</v>
          </cell>
          <cell r="N18">
            <v>0</v>
          </cell>
          <cell r="O18">
            <v>0</v>
          </cell>
        </row>
        <row r="19">
          <cell r="A19" t="str">
            <v>AH-Rad</v>
          </cell>
          <cell r="B19" t="str">
            <v>H</v>
          </cell>
          <cell r="C19" t="str">
            <v>Radoux</v>
          </cell>
          <cell r="D19" t="str">
            <v>American</v>
          </cell>
          <cell r="E19" t="str">
            <v>French coop</v>
          </cell>
          <cell r="F19">
            <v>530</v>
          </cell>
          <cell r="H19">
            <v>0.05</v>
          </cell>
          <cell r="I19" t="str">
            <v>USD</v>
          </cell>
          <cell r="J19">
            <v>0.98</v>
          </cell>
          <cell r="K19">
            <v>567.85714285714289</v>
          </cell>
          <cell r="L19">
            <v>0</v>
          </cell>
          <cell r="M19">
            <v>310</v>
          </cell>
          <cell r="N19">
            <v>0</v>
          </cell>
          <cell r="O19">
            <v>0</v>
          </cell>
        </row>
        <row r="20">
          <cell r="A20" t="str">
            <v>FH-Vic</v>
          </cell>
          <cell r="B20" t="str">
            <v>H</v>
          </cell>
          <cell r="C20" t="str">
            <v>Vicard</v>
          </cell>
          <cell r="D20" t="str">
            <v>French</v>
          </cell>
          <cell r="E20" t="str">
            <v>Toasted Heads Distinction</v>
          </cell>
          <cell r="F20">
            <v>945</v>
          </cell>
          <cell r="I20" t="str">
            <v>EUR</v>
          </cell>
          <cell r="J20">
            <v>0.64935064935064934</v>
          </cell>
          <cell r="K20">
            <v>1455.3</v>
          </cell>
          <cell r="L20">
            <v>0</v>
          </cell>
          <cell r="M20">
            <v>310</v>
          </cell>
          <cell r="N20">
            <v>0</v>
          </cell>
          <cell r="O20">
            <v>0</v>
          </cell>
        </row>
        <row r="21">
          <cell r="A21" t="str">
            <v>AH-Vic</v>
          </cell>
          <cell r="B21" t="str">
            <v>H</v>
          </cell>
          <cell r="C21" t="str">
            <v>Vicard</v>
          </cell>
          <cell r="D21" t="str">
            <v>American</v>
          </cell>
          <cell r="E21" t="str">
            <v>VPS</v>
          </cell>
          <cell r="F21">
            <v>760</v>
          </cell>
          <cell r="J21">
            <v>1</v>
          </cell>
          <cell r="K21">
            <v>760</v>
          </cell>
          <cell r="L21">
            <v>0</v>
          </cell>
          <cell r="M21">
            <v>310</v>
          </cell>
          <cell r="N21">
            <v>0</v>
          </cell>
          <cell r="O21">
            <v>0</v>
          </cell>
        </row>
        <row r="22">
          <cell r="A22" t="str">
            <v>FP-Vic</v>
          </cell>
          <cell r="B22" t="str">
            <v>P</v>
          </cell>
          <cell r="C22" t="str">
            <v>Vicard</v>
          </cell>
          <cell r="D22" t="str">
            <v>French</v>
          </cell>
          <cell r="E22" t="str">
            <v>Burgundy season, slow+deep</v>
          </cell>
          <cell r="F22">
            <v>1285</v>
          </cell>
          <cell r="I22" t="str">
            <v>EUR</v>
          </cell>
          <cell r="J22">
            <v>0.64935064935064934</v>
          </cell>
          <cell r="K22">
            <v>1978.9</v>
          </cell>
          <cell r="L22">
            <v>0</v>
          </cell>
          <cell r="M22">
            <v>500</v>
          </cell>
          <cell r="N22">
            <v>4</v>
          </cell>
          <cell r="O22">
            <v>7915.6</v>
          </cell>
        </row>
        <row r="23">
          <cell r="A23" t="str">
            <v>AH-APJ</v>
          </cell>
          <cell r="B23" t="str">
            <v>H</v>
          </cell>
          <cell r="C23" t="str">
            <v>AP John</v>
          </cell>
          <cell r="D23" t="str">
            <v>American</v>
          </cell>
          <cell r="E23" t="str">
            <v>Missouri Select</v>
          </cell>
          <cell r="F23">
            <v>795</v>
          </cell>
          <cell r="J23">
            <v>1</v>
          </cell>
          <cell r="K23">
            <v>795</v>
          </cell>
          <cell r="L23">
            <v>0</v>
          </cell>
          <cell r="M23">
            <v>310</v>
          </cell>
          <cell r="N23">
            <v>3</v>
          </cell>
          <cell r="O23">
            <v>2385</v>
          </cell>
        </row>
        <row r="24">
          <cell r="A24" t="str">
            <v>AT-Inn</v>
          </cell>
          <cell r="B24" t="str">
            <v>TI</v>
          </cell>
          <cell r="C24" t="str">
            <v>Innerstave</v>
          </cell>
          <cell r="D24" t="str">
            <v>American</v>
          </cell>
          <cell r="E24" t="str">
            <v>MT+</v>
          </cell>
          <cell r="F24">
            <v>55</v>
          </cell>
          <cell r="J24">
            <v>1</v>
          </cell>
          <cell r="K24">
            <v>55</v>
          </cell>
          <cell r="L24">
            <v>1.1357777905072678E-2</v>
          </cell>
          <cell r="M24">
            <v>0</v>
          </cell>
          <cell r="N24">
            <v>0</v>
          </cell>
          <cell r="O24">
            <v>0</v>
          </cell>
        </row>
        <row r="25">
          <cell r="A25" t="str">
            <v>FT-Inn</v>
          </cell>
          <cell r="B25" t="str">
            <v>TI</v>
          </cell>
          <cell r="C25" t="str">
            <v>Innerstave</v>
          </cell>
          <cell r="D25" t="str">
            <v>French</v>
          </cell>
          <cell r="E25" t="str">
            <v>MT+</v>
          </cell>
          <cell r="F25">
            <v>60</v>
          </cell>
          <cell r="J25">
            <v>1</v>
          </cell>
          <cell r="K25">
            <v>60</v>
          </cell>
          <cell r="L25">
            <v>1.1357777905072678E-2</v>
          </cell>
          <cell r="M25">
            <v>0</v>
          </cell>
          <cell r="N25">
            <v>0</v>
          </cell>
          <cell r="O25">
            <v>0</v>
          </cell>
        </row>
        <row r="26">
          <cell r="A26" t="str">
            <v>FT-SM</v>
          </cell>
          <cell r="B26" t="str">
            <v>TS</v>
          </cell>
          <cell r="C26" t="str">
            <v>Flextank</v>
          </cell>
          <cell r="D26" t="str">
            <v>French</v>
          </cell>
          <cell r="F26">
            <v>480</v>
          </cell>
          <cell r="J26">
            <v>1</v>
          </cell>
          <cell r="K26">
            <v>480</v>
          </cell>
          <cell r="L26">
            <v>2.1999999999999997E-3</v>
          </cell>
          <cell r="M26">
            <v>0</v>
          </cell>
          <cell r="N26">
            <v>15</v>
          </cell>
          <cell r="O26">
            <v>7200</v>
          </cell>
        </row>
        <row r="27">
          <cell r="A27" t="str">
            <v>AT-SM</v>
          </cell>
          <cell r="B27" t="str">
            <v>TS</v>
          </cell>
          <cell r="C27" t="str">
            <v>Flextank</v>
          </cell>
          <cell r="D27" t="str">
            <v>American</v>
          </cell>
          <cell r="F27">
            <v>480</v>
          </cell>
          <cell r="J27">
            <v>1</v>
          </cell>
          <cell r="K27">
            <v>480</v>
          </cell>
          <cell r="L27">
            <v>2.1999999999999997E-3</v>
          </cell>
          <cell r="M27">
            <v>0</v>
          </cell>
          <cell r="N27">
            <v>0</v>
          </cell>
          <cell r="O27">
            <v>0</v>
          </cell>
        </row>
        <row r="28">
          <cell r="A28" t="str">
            <v>FT-Rec</v>
          </cell>
          <cell r="B28" t="str">
            <v>TR</v>
          </cell>
          <cell r="C28" t="str">
            <v>Ausvat</v>
          </cell>
          <cell r="D28" t="str">
            <v>French</v>
          </cell>
          <cell r="F28">
            <v>150</v>
          </cell>
          <cell r="J28">
            <v>1</v>
          </cell>
          <cell r="K28">
            <v>150</v>
          </cell>
          <cell r="L28">
            <v>8.0645161290322581E-4</v>
          </cell>
          <cell r="M28">
            <v>0</v>
          </cell>
          <cell r="N28">
            <v>0</v>
          </cell>
          <cell r="O28">
            <v>0</v>
          </cell>
        </row>
        <row r="29">
          <cell r="A29" t="str">
            <v>AT-Rec</v>
          </cell>
          <cell r="B29" t="str">
            <v>TR</v>
          </cell>
          <cell r="C29" t="str">
            <v>Ausvat</v>
          </cell>
          <cell r="D29" t="str">
            <v>American</v>
          </cell>
          <cell r="F29">
            <v>150</v>
          </cell>
          <cell r="J29">
            <v>1</v>
          </cell>
          <cell r="K29">
            <v>150</v>
          </cell>
          <cell r="L29">
            <v>8.0645161290322581E-4</v>
          </cell>
          <cell r="M29">
            <v>0</v>
          </cell>
          <cell r="N29">
            <v>0</v>
          </cell>
          <cell r="O29">
            <v>0</v>
          </cell>
        </row>
        <row r="30">
          <cell r="A30" t="str">
            <v>FH-Old</v>
          </cell>
          <cell r="B30" t="str">
            <v>H</v>
          </cell>
          <cell r="C30" t="str">
            <v>Old</v>
          </cell>
          <cell r="D30" t="str">
            <v>French</v>
          </cell>
          <cell r="J30">
            <v>1</v>
          </cell>
          <cell r="K30">
            <v>0</v>
          </cell>
          <cell r="L30">
            <v>0</v>
          </cell>
          <cell r="M30">
            <v>310</v>
          </cell>
          <cell r="N30">
            <v>33</v>
          </cell>
          <cell r="O30">
            <v>0</v>
          </cell>
        </row>
        <row r="31">
          <cell r="A31" t="str">
            <v>AH-Old</v>
          </cell>
          <cell r="B31" t="str">
            <v>H</v>
          </cell>
          <cell r="C31" t="str">
            <v>Old</v>
          </cell>
          <cell r="D31" t="str">
            <v>American</v>
          </cell>
          <cell r="J31">
            <v>1</v>
          </cell>
          <cell r="K31">
            <v>0</v>
          </cell>
          <cell r="L31">
            <v>0</v>
          </cell>
          <cell r="M31">
            <v>310</v>
          </cell>
          <cell r="N31">
            <v>6</v>
          </cell>
          <cell r="O31">
            <v>0</v>
          </cell>
        </row>
        <row r="32">
          <cell r="A32" t="str">
            <v>FP-Old</v>
          </cell>
          <cell r="B32" t="str">
            <v>P</v>
          </cell>
          <cell r="C32" t="str">
            <v>Old</v>
          </cell>
          <cell r="D32" t="str">
            <v>French</v>
          </cell>
          <cell r="J32">
            <v>1</v>
          </cell>
          <cell r="K32">
            <v>0</v>
          </cell>
          <cell r="L32">
            <v>0</v>
          </cell>
          <cell r="M32">
            <v>500</v>
          </cell>
          <cell r="N32">
            <v>11</v>
          </cell>
          <cell r="O32">
            <v>0</v>
          </cell>
        </row>
        <row r="33">
          <cell r="A33" t="str">
            <v>FT-Evoak</v>
          </cell>
          <cell r="B33" t="str">
            <v>TE</v>
          </cell>
          <cell r="C33" t="str">
            <v>Evoak fan-pack incl 15 planks</v>
          </cell>
          <cell r="D33" t="str">
            <v>French</v>
          </cell>
          <cell r="E33" t="str">
            <v>Three types, decide split later</v>
          </cell>
          <cell r="F33">
            <v>109</v>
          </cell>
          <cell r="J33">
            <v>1</v>
          </cell>
          <cell r="K33">
            <v>109</v>
          </cell>
          <cell r="L33">
            <v>3.7189748564960788E-3</v>
          </cell>
          <cell r="M33">
            <v>0</v>
          </cell>
          <cell r="N33">
            <v>0</v>
          </cell>
          <cell r="O33">
            <v>0</v>
          </cell>
        </row>
        <row r="34">
          <cell r="A34" t="str">
            <v>AT-Evoak</v>
          </cell>
          <cell r="B34" t="str">
            <v>TE</v>
          </cell>
          <cell r="C34" t="str">
            <v>Evoak fan-pack incl 15 planks</v>
          </cell>
          <cell r="D34" t="str">
            <v>American</v>
          </cell>
          <cell r="F34">
            <v>109</v>
          </cell>
          <cell r="J34">
            <v>1</v>
          </cell>
          <cell r="K34">
            <v>109</v>
          </cell>
          <cell r="L34">
            <v>3.7189748564960788E-3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EO-Chain</v>
          </cell>
          <cell r="B35" t="str">
            <v>BE</v>
          </cell>
          <cell r="C35" t="str">
            <v>Evoak</v>
          </cell>
          <cell r="D35" t="str">
            <v>French</v>
          </cell>
          <cell r="E35" t="str">
            <v>Three types, decide split later</v>
          </cell>
          <cell r="F35">
            <v>79</v>
          </cell>
          <cell r="J35">
            <v>1</v>
          </cell>
          <cell r="K35">
            <v>79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J36">
            <v>1</v>
          </cell>
          <cell r="K36">
            <v>0</v>
          </cell>
          <cell r="L36">
            <v>0</v>
          </cell>
          <cell r="M36" t="str">
            <v/>
          </cell>
          <cell r="N36">
            <v>0</v>
          </cell>
          <cell r="O36">
            <v>0</v>
          </cell>
        </row>
        <row r="40">
          <cell r="H40">
            <v>7200</v>
          </cell>
          <cell r="J40">
            <v>17115.099999999999</v>
          </cell>
        </row>
      </sheetData>
      <sheetData sheetId="18">
        <row r="1">
          <cell r="G1">
            <v>0.15</v>
          </cell>
        </row>
        <row r="13">
          <cell r="D13">
            <v>0</v>
          </cell>
        </row>
        <row r="17">
          <cell r="D17">
            <v>226.18799999999999</v>
          </cell>
        </row>
        <row r="20">
          <cell r="C20">
            <v>1000</v>
          </cell>
        </row>
        <row r="22">
          <cell r="C22">
            <v>500</v>
          </cell>
          <cell r="D22">
            <v>1000</v>
          </cell>
        </row>
        <row r="23">
          <cell r="C23">
            <v>500</v>
          </cell>
        </row>
        <row r="29">
          <cell r="C29">
            <v>250</v>
          </cell>
          <cell r="D29">
            <v>250</v>
          </cell>
        </row>
        <row r="32">
          <cell r="D32">
            <v>909.09090909090901</v>
          </cell>
        </row>
        <row r="39">
          <cell r="E39">
            <v>1022.0000000000001</v>
          </cell>
        </row>
        <row r="40">
          <cell r="E40">
            <v>0</v>
          </cell>
        </row>
        <row r="41">
          <cell r="E41">
            <v>10058.181818181818</v>
          </cell>
        </row>
        <row r="42">
          <cell r="E42">
            <v>8712.0000000000018</v>
          </cell>
        </row>
        <row r="43">
          <cell r="E43">
            <v>727.27272727272725</v>
          </cell>
        </row>
        <row r="52">
          <cell r="E52">
            <v>545.45454545454538</v>
          </cell>
        </row>
        <row r="53">
          <cell r="E53">
            <v>8484.6545454545467</v>
          </cell>
        </row>
        <row r="56">
          <cell r="F56">
            <v>11.273732718894008</v>
          </cell>
        </row>
        <row r="69">
          <cell r="E69">
            <v>4060</v>
          </cell>
        </row>
        <row r="91">
          <cell r="C91">
            <v>100</v>
          </cell>
        </row>
        <row r="92">
          <cell r="C92">
            <v>93.76</v>
          </cell>
        </row>
        <row r="110">
          <cell r="B110">
            <v>179211.48705</v>
          </cell>
        </row>
        <row r="115">
          <cell r="B115">
            <v>90543.993699999992</v>
          </cell>
        </row>
        <row r="118">
          <cell r="B118">
            <v>0.09</v>
          </cell>
          <cell r="C118">
            <v>0.17</v>
          </cell>
        </row>
        <row r="119">
          <cell r="C119">
            <v>1.2999999999999999E-2</v>
          </cell>
        </row>
        <row r="120">
          <cell r="B120">
            <v>5.9404999999999999E-2</v>
          </cell>
          <cell r="C120">
            <v>6.3765000000000002E-2</v>
          </cell>
        </row>
        <row r="121">
          <cell r="B121">
            <v>0.01</v>
          </cell>
          <cell r="C121">
            <v>0.01</v>
          </cell>
        </row>
        <row r="122">
          <cell r="B122">
            <v>0.15940500000000002</v>
          </cell>
        </row>
        <row r="124">
          <cell r="B124">
            <v>0.17</v>
          </cell>
        </row>
      </sheetData>
      <sheetData sheetId="19">
        <row r="39">
          <cell r="BB39">
            <v>3500</v>
          </cell>
        </row>
        <row r="49">
          <cell r="C49">
            <v>94387.494000000006</v>
          </cell>
          <cell r="W49">
            <v>2800</v>
          </cell>
          <cell r="X49">
            <v>0</v>
          </cell>
          <cell r="Y49">
            <v>0</v>
          </cell>
          <cell r="Z49">
            <v>1880</v>
          </cell>
          <cell r="AA49">
            <v>1120</v>
          </cell>
          <cell r="AB49">
            <v>0</v>
          </cell>
          <cell r="AC49">
            <v>0</v>
          </cell>
          <cell r="AD49">
            <v>0</v>
          </cell>
          <cell r="AE49">
            <v>1598.3999999999999</v>
          </cell>
          <cell r="AF49">
            <v>0</v>
          </cell>
          <cell r="AG49">
            <v>0</v>
          </cell>
          <cell r="AH49">
            <v>0</v>
          </cell>
          <cell r="AN49">
            <v>14025.000000000002</v>
          </cell>
          <cell r="AO49">
            <v>0</v>
          </cell>
        </row>
      </sheetData>
      <sheetData sheetId="20">
        <row r="6">
          <cell r="A6" t="str">
            <v>CPCBAG</v>
          </cell>
          <cell r="B6" t="str">
            <v>CONTRACT SUPPLIED Punted Claret BVS AG</v>
          </cell>
          <cell r="C6">
            <v>0.45359166666666667</v>
          </cell>
          <cell r="D6">
            <v>0.75</v>
          </cell>
        </row>
        <row r="7">
          <cell r="A7" t="str">
            <v>CPBBFG</v>
          </cell>
          <cell r="B7" t="str">
            <v>CONTRACT SUPPLIED Punted Burgundy BVS FG</v>
          </cell>
          <cell r="C7">
            <v>0.45359166666666667</v>
          </cell>
          <cell r="D7">
            <v>0.75</v>
          </cell>
        </row>
        <row r="8">
          <cell r="A8" t="str">
            <v>PCBAG</v>
          </cell>
          <cell r="B8" t="str">
            <v>Punted Claret BVS Antique Green</v>
          </cell>
          <cell r="C8">
            <v>0.43574999999999997</v>
          </cell>
          <cell r="D8">
            <v>0.75</v>
          </cell>
          <cell r="E8" t="str">
            <v>[pallet]</v>
          </cell>
          <cell r="F8">
            <v>1112</v>
          </cell>
          <cell r="G8">
            <v>1112</v>
          </cell>
        </row>
        <row r="9">
          <cell r="A9" t="str">
            <v>PCBAR</v>
          </cell>
          <cell r="B9" t="str">
            <v>Punted Claret BVS Arctic</v>
          </cell>
          <cell r="C9">
            <v>0.504</v>
          </cell>
          <cell r="D9">
            <v>0.75</v>
          </cell>
          <cell r="E9" t="str">
            <v>[pallet]</v>
          </cell>
          <cell r="F9">
            <v>1112</v>
          </cell>
          <cell r="G9">
            <v>1112</v>
          </cell>
        </row>
        <row r="10">
          <cell r="A10" t="str">
            <v>PBBFG</v>
          </cell>
          <cell r="B10" t="str">
            <v>Punted Burgundy BVS French Green</v>
          </cell>
          <cell r="C10">
            <v>0.43574999999999997</v>
          </cell>
          <cell r="D10">
            <v>0.75</v>
          </cell>
          <cell r="E10" t="str">
            <v>[pallet]</v>
          </cell>
          <cell r="F10">
            <v>1012</v>
          </cell>
          <cell r="G10">
            <v>1012</v>
          </cell>
        </row>
        <row r="11">
          <cell r="A11" t="str">
            <v>PrBBFG</v>
          </cell>
          <cell r="B11" t="str">
            <v>Premium Burgundy BVS French Green</v>
          </cell>
          <cell r="C11">
            <v>0.50872499999999998</v>
          </cell>
          <cell r="D11">
            <v>0.75</v>
          </cell>
          <cell r="E11" t="str">
            <v>[pallet]</v>
          </cell>
          <cell r="F11">
            <v>0</v>
          </cell>
          <cell r="G11">
            <v>0</v>
          </cell>
        </row>
        <row r="12">
          <cell r="A12" t="str">
            <v>HBBF</v>
          </cell>
          <cell r="B12" t="str">
            <v>Half-bottle BVS Flint</v>
          </cell>
          <cell r="C12">
            <v>0.95</v>
          </cell>
          <cell r="D12">
            <v>0.375</v>
          </cell>
          <cell r="E12" t="str">
            <v>[pallet]</v>
          </cell>
          <cell r="F12">
            <v>2870</v>
          </cell>
        </row>
        <row r="13">
          <cell r="A13" t="str">
            <v>FHBF</v>
          </cell>
          <cell r="B13" t="str">
            <v>500mL flint BVS thick base</v>
          </cell>
          <cell r="C13">
            <v>1.59</v>
          </cell>
          <cell r="D13">
            <v>0.5</v>
          </cell>
          <cell r="E13" t="str">
            <v>[pallet]</v>
          </cell>
          <cell r="F13">
            <v>1428</v>
          </cell>
        </row>
        <row r="14">
          <cell r="A14" t="str">
            <v>MCAG</v>
          </cell>
          <cell r="B14" t="str">
            <v>Methode Champenoise Full-weight Antique Green</v>
          </cell>
          <cell r="C14">
            <v>0.72</v>
          </cell>
          <cell r="D14">
            <v>0.75</v>
          </cell>
          <cell r="E14" t="str">
            <v>[pallet]</v>
          </cell>
          <cell r="F14">
            <v>860</v>
          </cell>
          <cell r="G14">
            <v>860</v>
          </cell>
        </row>
        <row r="15">
          <cell r="A15" t="str">
            <v>MCPAG</v>
          </cell>
          <cell r="B15" t="str">
            <v>Methode Champenoise Premium Full-weight Antique Green</v>
          </cell>
        </row>
        <row r="16">
          <cell r="A16" t="str">
            <v>NR</v>
          </cell>
          <cell r="B16" t="str">
            <v>Not required</v>
          </cell>
          <cell r="C16">
            <v>0</v>
          </cell>
          <cell r="D16">
            <v>0.75</v>
          </cell>
        </row>
        <row r="21">
          <cell r="A21" t="str">
            <v>CONTRACT</v>
          </cell>
          <cell r="B21" t="str">
            <v>Various contract supplied</v>
          </cell>
          <cell r="C21">
            <v>0.16</v>
          </cell>
          <cell r="D21">
            <v>1</v>
          </cell>
        </row>
        <row r="22">
          <cell r="A22" t="str">
            <v>CONTRACTWW</v>
          </cell>
          <cell r="B22" t="str">
            <v>Contract 6-pack for Woolworths cartons</v>
          </cell>
          <cell r="C22">
            <v>9.2999999999999999E-2</v>
          </cell>
          <cell r="D22">
            <v>2</v>
          </cell>
        </row>
        <row r="23">
          <cell r="A23" t="str">
            <v>FH750</v>
          </cell>
          <cell r="B23" t="str">
            <v>Half Height 12 x 750mL bottle</v>
          </cell>
          <cell r="C23">
            <v>0.28000000000000003</v>
          </cell>
          <cell r="D23">
            <v>1</v>
          </cell>
          <cell r="E23" t="str">
            <v>[box]</v>
          </cell>
          <cell r="F23">
            <v>120</v>
          </cell>
        </row>
        <row r="24">
          <cell r="A24" t="str">
            <v>FH750PrB</v>
          </cell>
          <cell r="B24" t="str">
            <v>Half Height 12 x 750mL bottle Premium Burg</v>
          </cell>
          <cell r="C24">
            <v>0.28000000000000003</v>
          </cell>
          <cell r="D24">
            <v>1</v>
          </cell>
          <cell r="E24" t="str">
            <v>[box]</v>
          </cell>
          <cell r="F24">
            <v>120</v>
          </cell>
        </row>
        <row r="25">
          <cell r="A25" t="str">
            <v>FH375</v>
          </cell>
          <cell r="B25" t="str">
            <v>Full Height 12 x 375mL bottle</v>
          </cell>
          <cell r="C25">
            <v>0.28000000000000003</v>
          </cell>
          <cell r="D25">
            <v>1</v>
          </cell>
          <cell r="E25" t="str">
            <v>[box]</v>
          </cell>
          <cell r="F25">
            <v>100</v>
          </cell>
        </row>
        <row r="26">
          <cell r="A26" t="str">
            <v>FH500</v>
          </cell>
          <cell r="B26" t="str">
            <v>Full height 12 x 500mL</v>
          </cell>
          <cell r="C26">
            <v>0.28000000000000003</v>
          </cell>
          <cell r="D26">
            <v>1</v>
          </cell>
          <cell r="E26" t="str">
            <v>[box]</v>
          </cell>
          <cell r="F26">
            <v>120</v>
          </cell>
        </row>
        <row r="27">
          <cell r="A27" t="str">
            <v>FIZZ</v>
          </cell>
          <cell r="B27" t="str">
            <v>Sparkling 6 x 750mL bottle</v>
          </cell>
          <cell r="C27">
            <v>0.16</v>
          </cell>
          <cell r="D27">
            <v>2</v>
          </cell>
          <cell r="E27" t="str">
            <v>[box]</v>
          </cell>
          <cell r="F27">
            <v>400</v>
          </cell>
        </row>
        <row r="28">
          <cell r="A28" t="str">
            <v>CELL</v>
          </cell>
          <cell r="B28" t="str">
            <v>Cellastac layers</v>
          </cell>
          <cell r="C28">
            <v>0</v>
          </cell>
          <cell r="D28">
            <v>0.25</v>
          </cell>
          <cell r="E28" t="str">
            <v>[each]</v>
          </cell>
        </row>
        <row r="29">
          <cell r="A29" t="str">
            <v>NR</v>
          </cell>
          <cell r="B29" t="str">
            <v>Not Required</v>
          </cell>
          <cell r="C29">
            <v>0</v>
          </cell>
          <cell r="D29">
            <v>0</v>
          </cell>
        </row>
        <row r="34">
          <cell r="A34" t="str">
            <v>SCG</v>
          </cell>
          <cell r="B34" t="str">
            <v>Screwcap CSU Gold</v>
          </cell>
          <cell r="C34">
            <v>0.17</v>
          </cell>
          <cell r="D34">
            <v>1250</v>
          </cell>
          <cell r="E34">
            <v>168</v>
          </cell>
          <cell r="F34">
            <v>210</v>
          </cell>
        </row>
        <row r="35">
          <cell r="A35" t="str">
            <v>SPG</v>
          </cell>
          <cell r="B35" t="str">
            <v>Screwcap Plain Gold</v>
          </cell>
          <cell r="C35">
            <v>0.14499999999999999</v>
          </cell>
          <cell r="D35">
            <v>1250</v>
          </cell>
          <cell r="E35">
            <v>149.5</v>
          </cell>
          <cell r="F35">
            <v>186.875</v>
          </cell>
        </row>
        <row r="36">
          <cell r="A36" t="str">
            <v>SPB</v>
          </cell>
          <cell r="B36" t="str">
            <v>Screwcap Plain Black</v>
          </cell>
          <cell r="C36">
            <v>0.14499999999999999</v>
          </cell>
          <cell r="D36">
            <v>1400</v>
          </cell>
          <cell r="E36">
            <v>125</v>
          </cell>
          <cell r="F36">
            <v>175</v>
          </cell>
        </row>
        <row r="37">
          <cell r="A37" t="str">
            <v>CK</v>
          </cell>
          <cell r="B37" t="str">
            <v>Fizz Cork</v>
          </cell>
          <cell r="C37">
            <v>0.27200000000000002</v>
          </cell>
          <cell r="D37">
            <v>3000</v>
          </cell>
          <cell r="E37">
            <v>272</v>
          </cell>
          <cell r="F37">
            <v>816</v>
          </cell>
        </row>
        <row r="38">
          <cell r="A38" t="str">
            <v>B</v>
          </cell>
          <cell r="B38" t="str">
            <v>Bidule</v>
          </cell>
          <cell r="C38">
            <v>0</v>
          </cell>
          <cell r="D38">
            <v>10000</v>
          </cell>
          <cell r="E38">
            <v>33</v>
          </cell>
          <cell r="F38">
            <v>330</v>
          </cell>
        </row>
        <row r="39">
          <cell r="A39" t="str">
            <v>FH</v>
          </cell>
          <cell r="B39" t="str">
            <v>Fizz Hood</v>
          </cell>
          <cell r="C39">
            <v>0.03</v>
          </cell>
          <cell r="D39">
            <v>2500</v>
          </cell>
          <cell r="E39">
            <v>30</v>
          </cell>
          <cell r="F39">
            <v>75</v>
          </cell>
        </row>
        <row r="40">
          <cell r="A40" t="str">
            <v>FM</v>
          </cell>
          <cell r="B40" t="str">
            <v>Fizz Muselet</v>
          </cell>
          <cell r="C40">
            <v>6.0499999999999998E-2</v>
          </cell>
          <cell r="D40">
            <v>2730</v>
          </cell>
          <cell r="E40">
            <v>60.5</v>
          </cell>
          <cell r="F40">
            <v>165.16499999999999</v>
          </cell>
        </row>
        <row r="41">
          <cell r="A41" t="str">
            <v>CS</v>
          </cell>
          <cell r="B41" t="str">
            <v>Crown Seal</v>
          </cell>
          <cell r="C41">
            <v>0.06</v>
          </cell>
          <cell r="D41">
            <v>6000</v>
          </cell>
          <cell r="E41">
            <v>44.5</v>
          </cell>
          <cell r="F41">
            <v>267</v>
          </cell>
        </row>
        <row r="42">
          <cell r="A42" t="str">
            <v>NR</v>
          </cell>
          <cell r="B42" t="str">
            <v>Not Required</v>
          </cell>
          <cell r="C42">
            <v>0</v>
          </cell>
          <cell r="E42">
            <v>0</v>
          </cell>
          <cell r="F42">
            <v>0</v>
          </cell>
        </row>
        <row r="47">
          <cell r="A47" t="str">
            <v>PCG</v>
          </cell>
          <cell r="B47" t="str">
            <v>Punted Claret CSU Generic</v>
          </cell>
          <cell r="C47">
            <v>1.71</v>
          </cell>
          <cell r="D47">
            <v>1</v>
          </cell>
          <cell r="E47">
            <v>64</v>
          </cell>
        </row>
        <row r="48">
          <cell r="A48" t="str">
            <v>PCLR</v>
          </cell>
          <cell r="B48" t="str">
            <v>Punted Claret CSU LR</v>
          </cell>
          <cell r="C48">
            <v>1</v>
          </cell>
          <cell r="D48">
            <v>1</v>
          </cell>
          <cell r="E48">
            <v>64</v>
          </cell>
        </row>
        <row r="49">
          <cell r="A49" t="str">
            <v>PCP</v>
          </cell>
          <cell r="B49" t="str">
            <v>Punted Claret Plain</v>
          </cell>
          <cell r="C49">
            <v>0.82</v>
          </cell>
          <cell r="D49">
            <v>1</v>
          </cell>
          <cell r="E49">
            <v>64</v>
          </cell>
        </row>
        <row r="50">
          <cell r="A50" t="str">
            <v>PBG</v>
          </cell>
          <cell r="B50" t="str">
            <v>Punted Burgundy CSU Generic</v>
          </cell>
          <cell r="C50">
            <v>0.93</v>
          </cell>
          <cell r="D50">
            <v>1</v>
          </cell>
          <cell r="E50">
            <v>64</v>
          </cell>
        </row>
        <row r="51">
          <cell r="A51" t="str">
            <v>PBLR</v>
          </cell>
          <cell r="B51" t="str">
            <v>Punted Burgundy CSU LR</v>
          </cell>
          <cell r="C51">
            <v>1.4</v>
          </cell>
          <cell r="D51">
            <v>1</v>
          </cell>
          <cell r="E51">
            <v>64</v>
          </cell>
        </row>
        <row r="52">
          <cell r="A52" t="str">
            <v>PBP</v>
          </cell>
          <cell r="B52" t="str">
            <v>Punted Burgundy Plain</v>
          </cell>
          <cell r="C52">
            <v>0.82</v>
          </cell>
          <cell r="D52">
            <v>1</v>
          </cell>
          <cell r="E52">
            <v>64</v>
          </cell>
        </row>
        <row r="53">
          <cell r="A53" t="str">
            <v>PrBP</v>
          </cell>
          <cell r="B53" t="str">
            <v>Premium Burgundy Plain</v>
          </cell>
          <cell r="C53">
            <v>0.74229999999999996</v>
          </cell>
          <cell r="D53">
            <v>1</v>
          </cell>
          <cell r="E53">
            <v>64</v>
          </cell>
        </row>
        <row r="54">
          <cell r="A54" t="str">
            <v>HG</v>
          </cell>
          <cell r="B54" t="str">
            <v>Half-bottle Generic</v>
          </cell>
          <cell r="C54">
            <v>1</v>
          </cell>
          <cell r="D54">
            <v>1</v>
          </cell>
          <cell r="E54">
            <v>96</v>
          </cell>
        </row>
        <row r="55">
          <cell r="A55" t="str">
            <v>FHG</v>
          </cell>
          <cell r="B55" t="str">
            <v>500mL x 12 Generic</v>
          </cell>
          <cell r="C55">
            <v>1.17</v>
          </cell>
          <cell r="D55">
            <v>1</v>
          </cell>
          <cell r="E55">
            <v>64</v>
          </cell>
        </row>
        <row r="56">
          <cell r="A56" t="str">
            <v>FCG</v>
          </cell>
          <cell r="B56" t="str">
            <v>Fizz Crown Seal Generic</v>
          </cell>
          <cell r="C56">
            <v>0.72</v>
          </cell>
          <cell r="D56">
            <v>2</v>
          </cell>
          <cell r="E56">
            <v>48</v>
          </cell>
        </row>
        <row r="57">
          <cell r="A57" t="str">
            <v>FKG</v>
          </cell>
          <cell r="B57" t="str">
            <v>Fizz Cork Generic</v>
          </cell>
          <cell r="C57">
            <v>0.72</v>
          </cell>
          <cell r="D57">
            <v>2</v>
          </cell>
          <cell r="E57">
            <v>48</v>
          </cell>
        </row>
        <row r="58">
          <cell r="A58" t="str">
            <v>PCWW</v>
          </cell>
          <cell r="B58" t="str">
            <v>Punted Claret Cab/Merlot for W'worths</v>
          </cell>
          <cell r="C58">
            <v>0.49199999999999999</v>
          </cell>
          <cell r="D58">
            <v>2</v>
          </cell>
          <cell r="E58">
            <v>64</v>
          </cell>
        </row>
        <row r="59">
          <cell r="A59" t="str">
            <v>PBWW</v>
          </cell>
          <cell r="B59" t="str">
            <v>Punted Burgundy Chardonnay for W'worths</v>
          </cell>
          <cell r="C59">
            <v>0.51100000000000001</v>
          </cell>
          <cell r="D59">
            <v>2</v>
          </cell>
          <cell r="E59">
            <v>64</v>
          </cell>
        </row>
        <row r="60">
          <cell r="A60" t="str">
            <v>CELL</v>
          </cell>
          <cell r="B60" t="str">
            <v>No actual carton</v>
          </cell>
          <cell r="C60">
            <v>0</v>
          </cell>
          <cell r="D60">
            <v>0</v>
          </cell>
          <cell r="E60">
            <v>56</v>
          </cell>
        </row>
        <row r="61">
          <cell r="A61" t="str">
            <v>NR</v>
          </cell>
          <cell r="B61" t="str">
            <v>Not required</v>
          </cell>
          <cell r="C61">
            <v>0</v>
          </cell>
          <cell r="D61">
            <v>0</v>
          </cell>
          <cell r="E61">
            <v>0</v>
          </cell>
        </row>
        <row r="66">
          <cell r="A66" t="str">
            <v>O</v>
          </cell>
          <cell r="B66" t="str">
            <v>Ozpak-supplied</v>
          </cell>
          <cell r="C66">
            <v>19.596800000000002</v>
          </cell>
        </row>
        <row r="67">
          <cell r="A67" t="str">
            <v>L</v>
          </cell>
          <cell r="B67" t="str">
            <v>Locally sourced pine</v>
          </cell>
          <cell r="C67">
            <v>22.5</v>
          </cell>
        </row>
        <row r="68">
          <cell r="A68" t="str">
            <v>B</v>
          </cell>
          <cell r="B68" t="str">
            <v>Laydown wooden bin</v>
          </cell>
          <cell r="C68">
            <v>0</v>
          </cell>
          <cell r="D68">
            <v>36</v>
          </cell>
        </row>
        <row r="69">
          <cell r="A69" t="str">
            <v>C</v>
          </cell>
          <cell r="B69" t="str">
            <v>Cellastac</v>
          </cell>
          <cell r="C69">
            <v>0</v>
          </cell>
          <cell r="D69">
            <v>56</v>
          </cell>
        </row>
        <row r="70">
          <cell r="A70" t="str">
            <v>NR</v>
          </cell>
          <cell r="B70" t="str">
            <v>Not Required</v>
          </cell>
          <cell r="C70">
            <v>0</v>
          </cell>
        </row>
        <row r="75">
          <cell r="A75" t="str">
            <v>CFBS</v>
          </cell>
          <cell r="B75" t="str">
            <v>Core Front and Back Short Run</v>
          </cell>
          <cell r="C75">
            <v>0.13</v>
          </cell>
          <cell r="D75">
            <v>1</v>
          </cell>
          <cell r="E75">
            <v>350</v>
          </cell>
        </row>
        <row r="76">
          <cell r="A76" t="str">
            <v>CFBL</v>
          </cell>
          <cell r="B76" t="str">
            <v>Core Front and Back Long Run</v>
          </cell>
          <cell r="C76">
            <v>0.13</v>
          </cell>
          <cell r="D76">
            <v>1</v>
          </cell>
          <cell r="E76">
            <v>350</v>
          </cell>
        </row>
        <row r="77">
          <cell r="A77" t="str">
            <v>LRFB</v>
          </cell>
          <cell r="B77" t="str">
            <v>Limited Release Front and Back</v>
          </cell>
          <cell r="C77">
            <v>0.47</v>
          </cell>
          <cell r="D77">
            <v>1</v>
          </cell>
          <cell r="E77">
            <v>350</v>
          </cell>
        </row>
        <row r="78">
          <cell r="A78" t="str">
            <v>CRFB</v>
          </cell>
          <cell r="B78" t="str">
            <v>Cellar Reserve Front and Back</v>
          </cell>
          <cell r="C78">
            <v>0.47</v>
          </cell>
          <cell r="D78">
            <v>1</v>
          </cell>
          <cell r="E78">
            <v>350</v>
          </cell>
        </row>
        <row r="79">
          <cell r="A79" t="str">
            <v>CRFO</v>
          </cell>
          <cell r="B79" t="str">
            <v>Cellar Reserve Front Only</v>
          </cell>
          <cell r="C79">
            <v>0.2</v>
          </cell>
          <cell r="D79">
            <v>1</v>
          </cell>
          <cell r="E79">
            <v>350</v>
          </cell>
        </row>
        <row r="80">
          <cell r="A80" t="str">
            <v>CRVC</v>
          </cell>
          <cell r="B80" t="str">
            <v>President's Reserve</v>
          </cell>
          <cell r="C80">
            <v>1.1000000000000001</v>
          </cell>
          <cell r="D80">
            <v>1</v>
          </cell>
          <cell r="E80">
            <v>1230</v>
          </cell>
        </row>
        <row r="81">
          <cell r="A81" t="str">
            <v>FIZZ</v>
          </cell>
          <cell r="B81" t="str">
            <v>Sparkling (LR + neck label)</v>
          </cell>
          <cell r="C81">
            <v>0.55000000000000004</v>
          </cell>
          <cell r="D81">
            <v>1</v>
          </cell>
          <cell r="E81">
            <v>350</v>
          </cell>
        </row>
        <row r="82">
          <cell r="A82" t="str">
            <v>NR</v>
          </cell>
          <cell r="B82" t="str">
            <v>Not Required</v>
          </cell>
          <cell r="C82">
            <v>0</v>
          </cell>
          <cell r="D82">
            <v>0</v>
          </cell>
          <cell r="E82">
            <v>0</v>
          </cell>
        </row>
      </sheetData>
      <sheetData sheetId="21">
        <row r="5">
          <cell r="A5" t="str">
            <v>LWS</v>
          </cell>
          <cell r="B5" t="str">
            <v>Local White Standard</v>
          </cell>
          <cell r="C5" t="str">
            <v>L</v>
          </cell>
          <cell r="F5">
            <v>12</v>
          </cell>
          <cell r="G5" t="str">
            <v>PBBFG</v>
          </cell>
          <cell r="H5" t="str">
            <v>SCG</v>
          </cell>
          <cell r="J5" t="str">
            <v>PBG</v>
          </cell>
          <cell r="K5" t="str">
            <v>FH750</v>
          </cell>
          <cell r="L5" t="str">
            <v>L</v>
          </cell>
          <cell r="M5" t="str">
            <v>CFBS</v>
          </cell>
          <cell r="N5">
            <v>1</v>
          </cell>
          <cell r="O5">
            <v>9</v>
          </cell>
          <cell r="P5">
            <v>64</v>
          </cell>
          <cell r="Q5">
            <v>1</v>
          </cell>
          <cell r="R5">
            <v>1</v>
          </cell>
          <cell r="S5">
            <v>5.2289999999999992</v>
          </cell>
          <cell r="T5">
            <v>2.04</v>
          </cell>
          <cell r="U5">
            <v>1.56</v>
          </cell>
          <cell r="V5">
            <v>0.93</v>
          </cell>
          <cell r="W5">
            <v>0.28000000000000003</v>
          </cell>
          <cell r="X5">
            <v>0.3515625</v>
          </cell>
          <cell r="Y5">
            <v>3.71</v>
          </cell>
          <cell r="AB5">
            <v>4</v>
          </cell>
          <cell r="AC5">
            <v>200</v>
          </cell>
          <cell r="AH5">
            <v>0.70588235294117652</v>
          </cell>
          <cell r="AJ5">
            <v>3.71</v>
          </cell>
          <cell r="AK5">
            <v>10.3905625</v>
          </cell>
          <cell r="AL5">
            <v>0.70588235294117652</v>
          </cell>
          <cell r="AM5">
            <v>0.65560874535000002</v>
          </cell>
          <cell r="AN5">
            <v>15.462053598291174</v>
          </cell>
          <cell r="AP5">
            <v>2350</v>
          </cell>
          <cell r="AQ5">
            <v>8718.5</v>
          </cell>
          <cell r="AS5">
            <v>350</v>
          </cell>
        </row>
        <row r="6">
          <cell r="A6" t="str">
            <v>LRS</v>
          </cell>
          <cell r="B6" t="str">
            <v>Local Red Standard</v>
          </cell>
          <cell r="C6" t="str">
            <v>L</v>
          </cell>
          <cell r="F6">
            <v>12</v>
          </cell>
          <cell r="G6" t="str">
            <v>PCBAG</v>
          </cell>
          <cell r="H6" t="str">
            <v>SCG</v>
          </cell>
          <cell r="J6" t="str">
            <v>PCG</v>
          </cell>
          <cell r="K6" t="str">
            <v>FH750</v>
          </cell>
          <cell r="L6" t="str">
            <v>L</v>
          </cell>
          <cell r="M6" t="str">
            <v>CFBS</v>
          </cell>
          <cell r="N6">
            <v>1</v>
          </cell>
          <cell r="O6">
            <v>9</v>
          </cell>
          <cell r="P6">
            <v>64</v>
          </cell>
          <cell r="Q6">
            <v>1</v>
          </cell>
          <cell r="R6">
            <v>1</v>
          </cell>
          <cell r="S6">
            <v>5.2289999999999992</v>
          </cell>
          <cell r="T6">
            <v>2.04</v>
          </cell>
          <cell r="U6">
            <v>1.56</v>
          </cell>
          <cell r="V6">
            <v>1.71</v>
          </cell>
          <cell r="W6">
            <v>0.28000000000000003</v>
          </cell>
          <cell r="X6">
            <v>0.3515625</v>
          </cell>
          <cell r="Y6">
            <v>3.71</v>
          </cell>
          <cell r="AB6">
            <v>4</v>
          </cell>
          <cell r="AC6">
            <v>200</v>
          </cell>
          <cell r="AH6">
            <v>0.625</v>
          </cell>
          <cell r="AJ6">
            <v>3.71</v>
          </cell>
          <cell r="AK6">
            <v>11.170562500000001</v>
          </cell>
          <cell r="AL6">
            <v>0.625</v>
          </cell>
          <cell r="AM6">
            <v>0.65560874535000002</v>
          </cell>
          <cell r="AN6">
            <v>16.161171245350001</v>
          </cell>
          <cell r="AP6">
            <v>3500</v>
          </cell>
          <cell r="AQ6">
            <v>12985</v>
          </cell>
          <cell r="AS6">
            <v>350</v>
          </cell>
        </row>
        <row r="7">
          <cell r="A7" t="str">
            <v>LWLR</v>
          </cell>
          <cell r="B7" t="str">
            <v>Local White LR</v>
          </cell>
          <cell r="C7" t="str">
            <v>L</v>
          </cell>
          <cell r="F7">
            <v>12</v>
          </cell>
          <cell r="G7" t="str">
            <v>PBBFG</v>
          </cell>
          <cell r="H7" t="str">
            <v>SCG</v>
          </cell>
          <cell r="J7" t="str">
            <v>PBLR</v>
          </cell>
          <cell r="K7" t="str">
            <v>FH750</v>
          </cell>
          <cell r="L7" t="str">
            <v>L</v>
          </cell>
          <cell r="M7" t="str">
            <v>LRFB</v>
          </cell>
          <cell r="N7">
            <v>1</v>
          </cell>
          <cell r="O7">
            <v>9</v>
          </cell>
          <cell r="P7">
            <v>64</v>
          </cell>
          <cell r="Q7">
            <v>1</v>
          </cell>
          <cell r="R7">
            <v>1</v>
          </cell>
          <cell r="S7">
            <v>5.2289999999999992</v>
          </cell>
          <cell r="T7">
            <v>2.04</v>
          </cell>
          <cell r="U7">
            <v>5.64</v>
          </cell>
          <cell r="V7">
            <v>1.4</v>
          </cell>
          <cell r="W7">
            <v>0.28000000000000003</v>
          </cell>
          <cell r="X7">
            <v>0.3515625</v>
          </cell>
          <cell r="Y7">
            <v>3.71</v>
          </cell>
          <cell r="AB7">
            <v>4</v>
          </cell>
          <cell r="AC7">
            <v>200</v>
          </cell>
          <cell r="AH7">
            <v>0.70588235294117652</v>
          </cell>
          <cell r="AJ7">
            <v>3.71</v>
          </cell>
          <cell r="AK7">
            <v>14.940562499999999</v>
          </cell>
          <cell r="AL7">
            <v>0.70588235294117652</v>
          </cell>
          <cell r="AM7">
            <v>0.65560874535000002</v>
          </cell>
          <cell r="AN7">
            <v>20.012053598291178</v>
          </cell>
          <cell r="AP7">
            <v>800</v>
          </cell>
          <cell r="AQ7">
            <v>2968</v>
          </cell>
          <cell r="AS7">
            <v>350</v>
          </cell>
        </row>
        <row r="8">
          <cell r="A8" t="str">
            <v>LWLRAC</v>
          </cell>
          <cell r="B8" t="str">
            <v>Local White LR Arctic Claret</v>
          </cell>
          <cell r="C8" t="str">
            <v>L</v>
          </cell>
          <cell r="F8">
            <v>12</v>
          </cell>
          <cell r="G8" t="str">
            <v>PCBAR</v>
          </cell>
          <cell r="H8" t="str">
            <v>SCG</v>
          </cell>
          <cell r="J8" t="str">
            <v>PCLR</v>
          </cell>
          <cell r="K8" t="str">
            <v>FH750</v>
          </cell>
          <cell r="L8" t="str">
            <v>L</v>
          </cell>
          <cell r="M8" t="str">
            <v>LRFB</v>
          </cell>
          <cell r="N8">
            <v>1</v>
          </cell>
          <cell r="O8">
            <v>9</v>
          </cell>
          <cell r="P8">
            <v>64</v>
          </cell>
          <cell r="Q8">
            <v>1</v>
          </cell>
          <cell r="R8">
            <v>1</v>
          </cell>
          <cell r="S8">
            <v>6.048</v>
          </cell>
          <cell r="T8">
            <v>2.04</v>
          </cell>
          <cell r="U8">
            <v>5.64</v>
          </cell>
          <cell r="V8">
            <v>1</v>
          </cell>
          <cell r="W8">
            <v>0.28000000000000003</v>
          </cell>
          <cell r="X8">
            <v>0.3515625</v>
          </cell>
          <cell r="Y8">
            <v>3.71</v>
          </cell>
          <cell r="AB8">
            <v>4</v>
          </cell>
          <cell r="AC8">
            <v>200</v>
          </cell>
          <cell r="AH8">
            <v>0.70588235294117652</v>
          </cell>
          <cell r="AJ8">
            <v>3.71</v>
          </cell>
          <cell r="AK8">
            <v>15.359562499999999</v>
          </cell>
          <cell r="AL8">
            <v>0.70588235294117652</v>
          </cell>
          <cell r="AM8">
            <v>0.65560874535000002</v>
          </cell>
          <cell r="AN8">
            <v>20.431053598291179</v>
          </cell>
          <cell r="AP8">
            <v>0</v>
          </cell>
          <cell r="AQ8">
            <v>0</v>
          </cell>
          <cell r="AS8">
            <v>350</v>
          </cell>
        </row>
        <row r="9">
          <cell r="A9" t="str">
            <v>LRLO</v>
          </cell>
          <cell r="B9" t="str">
            <v>Local Reserve label only</v>
          </cell>
          <cell r="C9" t="str">
            <v>L</v>
          </cell>
          <cell r="F9">
            <v>12</v>
          </cell>
          <cell r="G9" t="str">
            <v>NR</v>
          </cell>
          <cell r="H9" t="str">
            <v>NR</v>
          </cell>
          <cell r="J9" t="str">
            <v>NR</v>
          </cell>
          <cell r="K9" t="str">
            <v>NR</v>
          </cell>
          <cell r="L9" t="str">
            <v>NR</v>
          </cell>
          <cell r="M9" t="str">
            <v>LRFB</v>
          </cell>
          <cell r="N9">
            <v>1</v>
          </cell>
          <cell r="O9">
            <v>9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5.64</v>
          </cell>
          <cell r="V9">
            <v>0</v>
          </cell>
          <cell r="W9">
            <v>0</v>
          </cell>
          <cell r="X9">
            <v>0</v>
          </cell>
          <cell r="AB9">
            <v>1</v>
          </cell>
          <cell r="AC9">
            <v>100</v>
          </cell>
          <cell r="AJ9">
            <v>0</v>
          </cell>
          <cell r="AK9">
            <v>5.64</v>
          </cell>
          <cell r="AL9">
            <v>0</v>
          </cell>
          <cell r="AM9">
            <v>0.32780437267500001</v>
          </cell>
          <cell r="AN9">
            <v>5.9678043726749994</v>
          </cell>
          <cell r="AP9">
            <v>0</v>
          </cell>
          <cell r="AQ9">
            <v>0</v>
          </cell>
          <cell r="AS9">
            <v>350</v>
          </cell>
        </row>
        <row r="10">
          <cell r="A10" t="str">
            <v>LCLO</v>
          </cell>
          <cell r="B10" t="str">
            <v>Local Core label only</v>
          </cell>
          <cell r="C10" t="str">
            <v>L</v>
          </cell>
          <cell r="F10">
            <v>12</v>
          </cell>
          <cell r="G10" t="str">
            <v>NR</v>
          </cell>
          <cell r="H10" t="str">
            <v>NR</v>
          </cell>
          <cell r="J10" t="str">
            <v>NR</v>
          </cell>
          <cell r="K10" t="str">
            <v>NR</v>
          </cell>
          <cell r="L10" t="str">
            <v>NR</v>
          </cell>
          <cell r="M10" t="str">
            <v>CFBL</v>
          </cell>
          <cell r="N10">
            <v>1</v>
          </cell>
          <cell r="O10">
            <v>9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1.56</v>
          </cell>
          <cell r="V10">
            <v>0</v>
          </cell>
          <cell r="W10">
            <v>0</v>
          </cell>
          <cell r="X10">
            <v>0</v>
          </cell>
          <cell r="AB10">
            <v>1</v>
          </cell>
          <cell r="AC10">
            <v>100</v>
          </cell>
          <cell r="AJ10">
            <v>0</v>
          </cell>
          <cell r="AK10">
            <v>1.56</v>
          </cell>
          <cell r="AL10">
            <v>0</v>
          </cell>
          <cell r="AM10">
            <v>0.32780437267500001</v>
          </cell>
          <cell r="AN10">
            <v>1.887804372675</v>
          </cell>
          <cell r="AP10">
            <v>0</v>
          </cell>
          <cell r="AQ10">
            <v>0</v>
          </cell>
          <cell r="AS10">
            <v>350</v>
          </cell>
        </row>
        <row r="11">
          <cell r="A11" t="str">
            <v>ORL</v>
          </cell>
          <cell r="B11" t="str">
            <v>Orange Relabel</v>
          </cell>
          <cell r="C11" t="str">
            <v>C</v>
          </cell>
          <cell r="F11">
            <v>12</v>
          </cell>
          <cell r="G11" t="str">
            <v>NR</v>
          </cell>
          <cell r="H11" t="str">
            <v>NR</v>
          </cell>
          <cell r="J11" t="str">
            <v>NR</v>
          </cell>
          <cell r="K11" t="str">
            <v>NR</v>
          </cell>
          <cell r="L11" t="str">
            <v>NR</v>
          </cell>
          <cell r="M11" t="str">
            <v>CFBL</v>
          </cell>
          <cell r="N11">
            <v>1</v>
          </cell>
          <cell r="O11">
            <v>9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1.56</v>
          </cell>
          <cell r="V11">
            <v>0</v>
          </cell>
          <cell r="W11">
            <v>0</v>
          </cell>
          <cell r="X11">
            <v>0</v>
          </cell>
          <cell r="Y11">
            <v>8.64</v>
          </cell>
          <cell r="AH11">
            <v>0.85227272727272729</v>
          </cell>
          <cell r="AJ11">
            <v>8.64</v>
          </cell>
          <cell r="AK11">
            <v>1.56</v>
          </cell>
          <cell r="AL11">
            <v>0.85227272727272729</v>
          </cell>
          <cell r="AM11">
            <v>0</v>
          </cell>
          <cell r="AN11">
            <v>11.052272727272728</v>
          </cell>
          <cell r="AP11">
            <v>0</v>
          </cell>
          <cell r="AQ11">
            <v>0</v>
          </cell>
          <cell r="AS11">
            <v>350</v>
          </cell>
        </row>
        <row r="12">
          <cell r="A12" t="str">
            <v>LRLR</v>
          </cell>
          <cell r="B12" t="str">
            <v>Local Red LR</v>
          </cell>
          <cell r="C12" t="str">
            <v>L</v>
          </cell>
          <cell r="F12">
            <v>12</v>
          </cell>
          <cell r="G12" t="str">
            <v>PCBAG</v>
          </cell>
          <cell r="H12" t="str">
            <v>SCG</v>
          </cell>
          <cell r="J12" t="str">
            <v>PCLR</v>
          </cell>
          <cell r="K12" t="str">
            <v>FH750</v>
          </cell>
          <cell r="L12" t="str">
            <v>L</v>
          </cell>
          <cell r="M12" t="str">
            <v>LRFB</v>
          </cell>
          <cell r="N12">
            <v>1</v>
          </cell>
          <cell r="O12">
            <v>9</v>
          </cell>
          <cell r="P12">
            <v>64</v>
          </cell>
          <cell r="Q12">
            <v>1</v>
          </cell>
          <cell r="R12">
            <v>1</v>
          </cell>
          <cell r="S12">
            <v>5.2289999999999992</v>
          </cell>
          <cell r="T12">
            <v>2.04</v>
          </cell>
          <cell r="U12">
            <v>5.64</v>
          </cell>
          <cell r="V12">
            <v>1</v>
          </cell>
          <cell r="W12">
            <v>0.28000000000000003</v>
          </cell>
          <cell r="X12">
            <v>0.3515625</v>
          </cell>
          <cell r="Y12">
            <v>3.71</v>
          </cell>
          <cell r="AB12">
            <v>4</v>
          </cell>
          <cell r="AC12">
            <v>200</v>
          </cell>
          <cell r="AH12">
            <v>0.625</v>
          </cell>
          <cell r="AJ12">
            <v>3.71</v>
          </cell>
          <cell r="AK12">
            <v>14.5405625</v>
          </cell>
          <cell r="AL12">
            <v>0.625</v>
          </cell>
          <cell r="AM12">
            <v>0.65560874535000002</v>
          </cell>
          <cell r="AN12">
            <v>19.531171245350002</v>
          </cell>
          <cell r="AP12">
            <v>0</v>
          </cell>
          <cell r="AQ12">
            <v>0</v>
          </cell>
          <cell r="AS12">
            <v>350</v>
          </cell>
        </row>
        <row r="13">
          <cell r="A13" t="str">
            <v>LRVC</v>
          </cell>
          <cell r="B13" t="str">
            <v>Local Red President's Reserve</v>
          </cell>
          <cell r="C13" t="str">
            <v>L</v>
          </cell>
          <cell r="F13">
            <v>12</v>
          </cell>
          <cell r="G13" t="str">
            <v>PCBAG</v>
          </cell>
          <cell r="H13" t="str">
            <v>SCG</v>
          </cell>
          <cell r="J13" t="str">
            <v>PCLR</v>
          </cell>
          <cell r="K13" t="str">
            <v>FH750</v>
          </cell>
          <cell r="L13" t="str">
            <v>L</v>
          </cell>
          <cell r="M13" t="str">
            <v>CRVC</v>
          </cell>
          <cell r="N13">
            <v>1</v>
          </cell>
          <cell r="O13">
            <v>9</v>
          </cell>
          <cell r="P13">
            <v>64</v>
          </cell>
          <cell r="Q13">
            <v>1</v>
          </cell>
          <cell r="R13">
            <v>1</v>
          </cell>
          <cell r="S13">
            <v>5.2289999999999992</v>
          </cell>
          <cell r="T13">
            <v>2.04</v>
          </cell>
          <cell r="U13">
            <v>13.200000000000001</v>
          </cell>
          <cell r="V13">
            <v>1</v>
          </cell>
          <cell r="W13">
            <v>0.28000000000000003</v>
          </cell>
          <cell r="X13">
            <v>0.3515625</v>
          </cell>
          <cell r="Y13">
            <v>3.71</v>
          </cell>
          <cell r="AB13">
            <v>4</v>
          </cell>
          <cell r="AC13">
            <v>200</v>
          </cell>
          <cell r="AD13">
            <v>3</v>
          </cell>
          <cell r="AE13">
            <v>24</v>
          </cell>
          <cell r="AH13">
            <v>0.625</v>
          </cell>
          <cell r="AJ13">
            <v>3.71</v>
          </cell>
          <cell r="AK13">
            <v>22.100562500000002</v>
          </cell>
          <cell r="AL13">
            <v>0.625</v>
          </cell>
          <cell r="AM13">
            <v>4.7531634037875001</v>
          </cell>
          <cell r="AN13">
            <v>31.188725903787503</v>
          </cell>
          <cell r="AP13">
            <v>0</v>
          </cell>
          <cell r="AQ13">
            <v>0</v>
          </cell>
          <cell r="AS13">
            <v>1230</v>
          </cell>
        </row>
        <row r="14">
          <cell r="A14" t="str">
            <v>LWCS</v>
          </cell>
          <cell r="B14" t="str">
            <v>Local White Cleanskin</v>
          </cell>
          <cell r="C14" t="str">
            <v>L</v>
          </cell>
          <cell r="F14">
            <v>12</v>
          </cell>
          <cell r="G14" t="str">
            <v>PBBFG</v>
          </cell>
          <cell r="H14" t="str">
            <v>SPG</v>
          </cell>
          <cell r="J14" t="str">
            <v>PBP</v>
          </cell>
          <cell r="K14" t="str">
            <v>FH750</v>
          </cell>
          <cell r="L14" t="str">
            <v>L</v>
          </cell>
          <cell r="M14" t="str">
            <v>NR</v>
          </cell>
          <cell r="N14">
            <v>0</v>
          </cell>
          <cell r="O14">
            <v>9</v>
          </cell>
          <cell r="P14">
            <v>64</v>
          </cell>
          <cell r="Q14">
            <v>1</v>
          </cell>
          <cell r="R14">
            <v>1</v>
          </cell>
          <cell r="S14">
            <v>5.2289999999999992</v>
          </cell>
          <cell r="T14">
            <v>1.7399999999999998</v>
          </cell>
          <cell r="U14">
            <v>0</v>
          </cell>
          <cell r="V14">
            <v>0.82</v>
          </cell>
          <cell r="W14">
            <v>0.28000000000000003</v>
          </cell>
          <cell r="X14">
            <v>0.3515625</v>
          </cell>
          <cell r="Y14">
            <v>3.15</v>
          </cell>
          <cell r="AB14">
            <v>4</v>
          </cell>
          <cell r="AC14">
            <v>200</v>
          </cell>
          <cell r="AH14">
            <v>0.70588235294117652</v>
          </cell>
          <cell r="AJ14">
            <v>3.15</v>
          </cell>
          <cell r="AK14">
            <v>8.4205624999999991</v>
          </cell>
          <cell r="AL14">
            <v>0.70588235294117652</v>
          </cell>
          <cell r="AM14">
            <v>0.65560874535000002</v>
          </cell>
          <cell r="AN14">
            <v>12.932053598291175</v>
          </cell>
          <cell r="AP14">
            <v>0</v>
          </cell>
          <cell r="AQ14">
            <v>0</v>
          </cell>
          <cell r="AS14">
            <v>0</v>
          </cell>
        </row>
        <row r="15">
          <cell r="A15" t="str">
            <v>LRCS</v>
          </cell>
          <cell r="B15" t="str">
            <v>Local Red Cleanskin</v>
          </cell>
          <cell r="C15" t="str">
            <v>L</v>
          </cell>
          <cell r="F15">
            <v>12</v>
          </cell>
          <cell r="G15" t="str">
            <v>PCBAG</v>
          </cell>
          <cell r="H15" t="str">
            <v>SPG</v>
          </cell>
          <cell r="J15" t="str">
            <v>PCP</v>
          </cell>
          <cell r="K15" t="str">
            <v>FH750</v>
          </cell>
          <cell r="L15" t="str">
            <v>L</v>
          </cell>
          <cell r="M15" t="str">
            <v>NR</v>
          </cell>
          <cell r="N15">
            <v>0</v>
          </cell>
          <cell r="O15">
            <v>9</v>
          </cell>
          <cell r="P15">
            <v>64</v>
          </cell>
          <cell r="Q15">
            <v>1</v>
          </cell>
          <cell r="R15">
            <v>1</v>
          </cell>
          <cell r="S15">
            <v>5.2289999999999992</v>
          </cell>
          <cell r="T15">
            <v>1.7399999999999998</v>
          </cell>
          <cell r="U15">
            <v>0</v>
          </cell>
          <cell r="V15">
            <v>0.82</v>
          </cell>
          <cell r="W15">
            <v>0.28000000000000003</v>
          </cell>
          <cell r="X15">
            <v>0.3515625</v>
          </cell>
          <cell r="Y15">
            <v>3.15</v>
          </cell>
          <cell r="AB15">
            <v>4</v>
          </cell>
          <cell r="AC15">
            <v>200</v>
          </cell>
          <cell r="AH15">
            <v>0.625</v>
          </cell>
          <cell r="AJ15">
            <v>3.15</v>
          </cell>
          <cell r="AK15">
            <v>8.4205624999999991</v>
          </cell>
          <cell r="AL15">
            <v>0.625</v>
          </cell>
          <cell r="AM15">
            <v>0.65560874535000002</v>
          </cell>
          <cell r="AN15">
            <v>12.851171245349999</v>
          </cell>
          <cell r="AP15">
            <v>0</v>
          </cell>
          <cell r="AQ15">
            <v>0</v>
          </cell>
          <cell r="AS15">
            <v>0</v>
          </cell>
        </row>
        <row r="16">
          <cell r="A16" t="str">
            <v>XWL</v>
          </cell>
          <cell r="B16" t="str">
            <v>Local 3rd-party White labelled</v>
          </cell>
          <cell r="C16" t="str">
            <v>L</v>
          </cell>
          <cell r="F16">
            <v>12</v>
          </cell>
          <cell r="G16" t="str">
            <v>PBBFG</v>
          </cell>
          <cell r="H16" t="str">
            <v>SPG</v>
          </cell>
          <cell r="J16" t="str">
            <v>PBP</v>
          </cell>
          <cell r="K16" t="str">
            <v>FH750</v>
          </cell>
          <cell r="L16" t="str">
            <v>L</v>
          </cell>
          <cell r="M16" t="str">
            <v>NR</v>
          </cell>
          <cell r="N16">
            <v>0</v>
          </cell>
          <cell r="O16">
            <v>9</v>
          </cell>
          <cell r="P16">
            <v>64</v>
          </cell>
          <cell r="Q16">
            <v>1</v>
          </cell>
          <cell r="R16">
            <v>1</v>
          </cell>
          <cell r="S16">
            <v>5.2289999999999992</v>
          </cell>
          <cell r="T16">
            <v>1.7399999999999998</v>
          </cell>
          <cell r="U16">
            <v>0</v>
          </cell>
          <cell r="V16">
            <v>0.82</v>
          </cell>
          <cell r="W16">
            <v>0.28000000000000003</v>
          </cell>
          <cell r="X16">
            <v>0.3515625</v>
          </cell>
          <cell r="Y16">
            <v>3.71</v>
          </cell>
          <cell r="AB16">
            <v>4</v>
          </cell>
          <cell r="AC16">
            <v>200</v>
          </cell>
          <cell r="AH16">
            <v>0.70588235294117652</v>
          </cell>
          <cell r="AJ16">
            <v>3.71</v>
          </cell>
          <cell r="AK16">
            <v>8.4205624999999991</v>
          </cell>
          <cell r="AL16">
            <v>0.70588235294117652</v>
          </cell>
          <cell r="AM16">
            <v>0.65560874535000002</v>
          </cell>
          <cell r="AN16">
            <v>13.492053598291175</v>
          </cell>
          <cell r="AP16">
            <v>0</v>
          </cell>
          <cell r="AQ16">
            <v>0</v>
          </cell>
          <cell r="AS16">
            <v>0</v>
          </cell>
        </row>
        <row r="17">
          <cell r="A17" t="str">
            <v>XRL</v>
          </cell>
          <cell r="B17" t="str">
            <v>Local 3rd-party Red labelled</v>
          </cell>
          <cell r="C17" t="str">
            <v>L</v>
          </cell>
          <cell r="F17">
            <v>12</v>
          </cell>
          <cell r="G17" t="str">
            <v>PCBAG</v>
          </cell>
          <cell r="H17" t="str">
            <v>SPG</v>
          </cell>
          <cell r="J17" t="str">
            <v>PCP</v>
          </cell>
          <cell r="K17" t="str">
            <v>FH750</v>
          </cell>
          <cell r="L17" t="str">
            <v>L</v>
          </cell>
          <cell r="M17" t="str">
            <v>NR</v>
          </cell>
          <cell r="N17">
            <v>0</v>
          </cell>
          <cell r="O17">
            <v>9</v>
          </cell>
          <cell r="P17">
            <v>64</v>
          </cell>
          <cell r="Q17">
            <v>1</v>
          </cell>
          <cell r="R17">
            <v>1</v>
          </cell>
          <cell r="S17">
            <v>5.2289999999999992</v>
          </cell>
          <cell r="T17">
            <v>1.7399999999999998</v>
          </cell>
          <cell r="U17">
            <v>0</v>
          </cell>
          <cell r="V17">
            <v>0.82</v>
          </cell>
          <cell r="W17">
            <v>0.28000000000000003</v>
          </cell>
          <cell r="X17">
            <v>0.3515625</v>
          </cell>
          <cell r="Y17">
            <v>3.71</v>
          </cell>
          <cell r="AB17">
            <v>4</v>
          </cell>
          <cell r="AC17">
            <v>200</v>
          </cell>
          <cell r="AH17">
            <v>0.625</v>
          </cell>
          <cell r="AJ17">
            <v>3.71</v>
          </cell>
          <cell r="AK17">
            <v>8.4205624999999991</v>
          </cell>
          <cell r="AL17">
            <v>0.625</v>
          </cell>
          <cell r="AM17">
            <v>0.65560874535000002</v>
          </cell>
          <cell r="AN17">
            <v>13.411171245349999</v>
          </cell>
          <cell r="AP17">
            <v>0</v>
          </cell>
          <cell r="AQ17">
            <v>0</v>
          </cell>
          <cell r="AS17">
            <v>0</v>
          </cell>
        </row>
        <row r="18">
          <cell r="A18" t="str">
            <v>XWLPr</v>
          </cell>
          <cell r="B18" t="str">
            <v>Local 3rd-party White Premium</v>
          </cell>
          <cell r="C18" t="str">
            <v>L</v>
          </cell>
          <cell r="F18">
            <v>12</v>
          </cell>
          <cell r="G18" t="str">
            <v>PrBBFG</v>
          </cell>
          <cell r="H18" t="str">
            <v>SPB</v>
          </cell>
          <cell r="J18" t="str">
            <v>PrBP</v>
          </cell>
          <cell r="K18" t="str">
            <v>FH750</v>
          </cell>
          <cell r="L18" t="str">
            <v>L</v>
          </cell>
          <cell r="M18" t="str">
            <v>NR</v>
          </cell>
          <cell r="N18">
            <v>0</v>
          </cell>
          <cell r="O18">
            <v>9</v>
          </cell>
          <cell r="P18">
            <v>64</v>
          </cell>
          <cell r="Q18">
            <v>1</v>
          </cell>
          <cell r="R18">
            <v>1</v>
          </cell>
          <cell r="S18">
            <v>6.1046999999999993</v>
          </cell>
          <cell r="T18">
            <v>1.7399999999999998</v>
          </cell>
          <cell r="U18">
            <v>0</v>
          </cell>
          <cell r="V18">
            <v>0.74229999999999996</v>
          </cell>
          <cell r="W18">
            <v>0.28000000000000003</v>
          </cell>
          <cell r="X18">
            <v>0.3515625</v>
          </cell>
          <cell r="Y18">
            <v>3.71</v>
          </cell>
          <cell r="AB18">
            <v>4</v>
          </cell>
          <cell r="AC18">
            <v>200</v>
          </cell>
          <cell r="AH18">
            <v>0.70588235294117652</v>
          </cell>
          <cell r="AJ18">
            <v>3.71</v>
          </cell>
          <cell r="AK18">
            <v>9.2185624999999991</v>
          </cell>
          <cell r="AL18">
            <v>0.70588235294117652</v>
          </cell>
          <cell r="AM18">
            <v>0.65560874535000002</v>
          </cell>
          <cell r="AN18">
            <v>14.290053598291173</v>
          </cell>
          <cell r="AP18">
            <v>0</v>
          </cell>
          <cell r="AQ18">
            <v>0</v>
          </cell>
          <cell r="AS18">
            <v>0</v>
          </cell>
        </row>
        <row r="19">
          <cell r="A19" t="str">
            <v>XWHLPr</v>
          </cell>
          <cell r="B19" t="str">
            <v>Local 3rd-party White Premium handlabel</v>
          </cell>
          <cell r="C19" t="str">
            <v>L</v>
          </cell>
          <cell r="F19">
            <v>12</v>
          </cell>
          <cell r="G19" t="str">
            <v>PrBBFG</v>
          </cell>
          <cell r="H19" t="str">
            <v>SPB</v>
          </cell>
          <cell r="J19" t="str">
            <v>PrBP</v>
          </cell>
          <cell r="K19" t="str">
            <v>FH750</v>
          </cell>
          <cell r="L19" t="str">
            <v>L</v>
          </cell>
          <cell r="M19" t="str">
            <v>NR</v>
          </cell>
          <cell r="N19">
            <v>0</v>
          </cell>
          <cell r="O19">
            <v>9</v>
          </cell>
          <cell r="P19">
            <v>64</v>
          </cell>
          <cell r="Q19">
            <v>1</v>
          </cell>
          <cell r="R19">
            <v>1</v>
          </cell>
          <cell r="S19">
            <v>6.1046999999999993</v>
          </cell>
          <cell r="T19">
            <v>1.7399999999999998</v>
          </cell>
          <cell r="U19">
            <v>0</v>
          </cell>
          <cell r="V19">
            <v>0.74229999999999996</v>
          </cell>
          <cell r="W19">
            <v>0.28000000000000003</v>
          </cell>
          <cell r="X19">
            <v>0.3515625</v>
          </cell>
          <cell r="Y19">
            <v>3.15</v>
          </cell>
          <cell r="AB19">
            <v>4</v>
          </cell>
          <cell r="AC19">
            <v>200</v>
          </cell>
          <cell r="AD19">
            <v>3</v>
          </cell>
          <cell r="AE19">
            <v>24</v>
          </cell>
          <cell r="AH19">
            <v>0.70588235294117652</v>
          </cell>
          <cell r="AJ19">
            <v>3.15</v>
          </cell>
          <cell r="AK19">
            <v>9.2185624999999991</v>
          </cell>
          <cell r="AL19">
            <v>0.70588235294117652</v>
          </cell>
          <cell r="AM19">
            <v>4.7531634037875001</v>
          </cell>
          <cell r="AN19">
            <v>17.827608256728674</v>
          </cell>
          <cell r="AP19">
            <v>0</v>
          </cell>
          <cell r="AQ19">
            <v>0</v>
          </cell>
          <cell r="AS19">
            <v>0</v>
          </cell>
        </row>
        <row r="20">
          <cell r="A20" t="str">
            <v>LH</v>
          </cell>
          <cell r="B20" t="str">
            <v>Local Half-bottle</v>
          </cell>
          <cell r="C20" t="str">
            <v>L</v>
          </cell>
          <cell r="F20">
            <v>12</v>
          </cell>
          <cell r="G20" t="str">
            <v>HBBF</v>
          </cell>
          <cell r="H20" t="str">
            <v>SCG</v>
          </cell>
          <cell r="J20" t="str">
            <v>HG</v>
          </cell>
          <cell r="K20" t="str">
            <v>FH375</v>
          </cell>
          <cell r="L20" t="str">
            <v>L</v>
          </cell>
          <cell r="M20" t="str">
            <v>LRFB</v>
          </cell>
          <cell r="N20">
            <v>1</v>
          </cell>
          <cell r="O20">
            <v>4.5</v>
          </cell>
          <cell r="P20">
            <v>96</v>
          </cell>
          <cell r="Q20">
            <v>1</v>
          </cell>
          <cell r="R20">
            <v>1</v>
          </cell>
          <cell r="S20">
            <v>11.399999999999999</v>
          </cell>
          <cell r="T20">
            <v>2.04</v>
          </cell>
          <cell r="U20">
            <v>5.64</v>
          </cell>
          <cell r="V20">
            <v>1</v>
          </cell>
          <cell r="W20">
            <v>0.28000000000000003</v>
          </cell>
          <cell r="X20">
            <v>0.234375</v>
          </cell>
          <cell r="Y20">
            <v>3.71</v>
          </cell>
          <cell r="AB20">
            <v>4</v>
          </cell>
          <cell r="AC20">
            <v>75</v>
          </cell>
          <cell r="AH20">
            <v>0.28015564202334631</v>
          </cell>
          <cell r="AJ20">
            <v>3.71</v>
          </cell>
          <cell r="AK20">
            <v>20.594374999999999</v>
          </cell>
          <cell r="AL20">
            <v>0.28015564202334631</v>
          </cell>
          <cell r="AM20">
            <v>1.7482899876</v>
          </cell>
          <cell r="AN20">
            <v>26.332820629623345</v>
          </cell>
          <cell r="AP20">
            <v>0</v>
          </cell>
          <cell r="AQ20">
            <v>0</v>
          </cell>
          <cell r="AS20">
            <v>350</v>
          </cell>
        </row>
        <row r="21">
          <cell r="A21" t="str">
            <v>LFH</v>
          </cell>
          <cell r="B21" t="str">
            <v>Local 500mL</v>
          </cell>
          <cell r="C21" t="str">
            <v>L</v>
          </cell>
          <cell r="F21">
            <v>12</v>
          </cell>
          <cell r="G21" t="str">
            <v>FHBF</v>
          </cell>
          <cell r="H21" t="str">
            <v>SCG</v>
          </cell>
          <cell r="J21" t="str">
            <v>FHG</v>
          </cell>
          <cell r="K21" t="str">
            <v>FH500</v>
          </cell>
          <cell r="L21" t="str">
            <v>L</v>
          </cell>
          <cell r="M21" t="str">
            <v>LRFB</v>
          </cell>
          <cell r="N21">
            <v>1</v>
          </cell>
          <cell r="O21">
            <v>6</v>
          </cell>
          <cell r="P21">
            <v>64</v>
          </cell>
          <cell r="Q21">
            <v>1</v>
          </cell>
          <cell r="R21">
            <v>1</v>
          </cell>
          <cell r="S21">
            <v>19.080000000000002</v>
          </cell>
          <cell r="T21">
            <v>2.04</v>
          </cell>
          <cell r="U21">
            <v>5.64</v>
          </cell>
          <cell r="V21">
            <v>1.17</v>
          </cell>
          <cell r="W21">
            <v>0.28000000000000003</v>
          </cell>
          <cell r="X21">
            <v>0.3515625</v>
          </cell>
          <cell r="Y21">
            <v>3.71</v>
          </cell>
          <cell r="AB21">
            <v>4</v>
          </cell>
          <cell r="AC21">
            <v>200</v>
          </cell>
          <cell r="AH21">
            <v>0.48582995951417007</v>
          </cell>
          <cell r="AJ21">
            <v>3.71</v>
          </cell>
          <cell r="AK21">
            <v>28.561562500000001</v>
          </cell>
          <cell r="AL21">
            <v>0.48582995951417007</v>
          </cell>
          <cell r="AM21">
            <v>0.65560874535000002</v>
          </cell>
          <cell r="AN21">
            <v>33.413001204864173</v>
          </cell>
          <cell r="AP21">
            <v>200</v>
          </cell>
          <cell r="AQ21">
            <v>742</v>
          </cell>
          <cell r="AS21">
            <v>350</v>
          </cell>
        </row>
        <row r="22">
          <cell r="A22" t="str">
            <v>LFT</v>
          </cell>
          <cell r="B22" t="str">
            <v>Local Fizz Tirage</v>
          </cell>
          <cell r="C22" t="str">
            <v>L</v>
          </cell>
          <cell r="F22">
            <v>12</v>
          </cell>
          <cell r="G22" t="str">
            <v>MCAG</v>
          </cell>
          <cell r="H22" t="str">
            <v>CS</v>
          </cell>
          <cell r="I22" t="str">
            <v>Y</v>
          </cell>
          <cell r="J22" t="str">
            <v>CELL</v>
          </cell>
          <cell r="K22" t="str">
            <v>CELL</v>
          </cell>
          <cell r="L22" t="str">
            <v>C</v>
          </cell>
          <cell r="M22" t="str">
            <v>NR</v>
          </cell>
          <cell r="N22">
            <v>0</v>
          </cell>
          <cell r="O22">
            <v>9</v>
          </cell>
          <cell r="P22">
            <v>56</v>
          </cell>
          <cell r="Q22">
            <v>0</v>
          </cell>
          <cell r="R22">
            <v>0.25</v>
          </cell>
          <cell r="S22">
            <v>8.64</v>
          </cell>
          <cell r="T22">
            <v>0.72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4.3499999999999996</v>
          </cell>
          <cell r="AB22">
            <v>4</v>
          </cell>
          <cell r="AC22">
            <v>200</v>
          </cell>
          <cell r="AH22">
            <v>0.82949308755760376</v>
          </cell>
          <cell r="AJ22">
            <v>4.3499999999999996</v>
          </cell>
          <cell r="AK22">
            <v>9.3600000000000012</v>
          </cell>
          <cell r="AL22">
            <v>0.82949308755760376</v>
          </cell>
          <cell r="AM22">
            <v>0.65560874535000002</v>
          </cell>
          <cell r="AN22">
            <v>15.195101832907604</v>
          </cell>
          <cell r="AP22">
            <v>540</v>
          </cell>
          <cell r="AQ22">
            <v>2349</v>
          </cell>
          <cell r="AS22">
            <v>0</v>
          </cell>
        </row>
        <row r="23">
          <cell r="A23" t="str">
            <v>LFTNB</v>
          </cell>
          <cell r="B23" t="str">
            <v>Local Fizz Tirage (no bottles)</v>
          </cell>
          <cell r="C23" t="str">
            <v>L</v>
          </cell>
          <cell r="F23">
            <v>12</v>
          </cell>
          <cell r="G23" t="str">
            <v>NR</v>
          </cell>
          <cell r="H23" t="str">
            <v>CS</v>
          </cell>
          <cell r="I23" t="str">
            <v>Y</v>
          </cell>
          <cell r="J23" t="str">
            <v>CELL</v>
          </cell>
          <cell r="K23" t="str">
            <v>NR</v>
          </cell>
          <cell r="L23" t="str">
            <v>B</v>
          </cell>
          <cell r="M23" t="str">
            <v>NR</v>
          </cell>
          <cell r="N23">
            <v>0</v>
          </cell>
          <cell r="O23">
            <v>9</v>
          </cell>
          <cell r="P23">
            <v>36</v>
          </cell>
          <cell r="Q23">
            <v>0</v>
          </cell>
          <cell r="R23">
            <v>0</v>
          </cell>
          <cell r="S23">
            <v>0</v>
          </cell>
          <cell r="T23">
            <v>0.72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4.3499999999999996</v>
          </cell>
          <cell r="AB23">
            <v>4</v>
          </cell>
          <cell r="AC23">
            <v>200</v>
          </cell>
          <cell r="AJ23">
            <v>4.3499999999999996</v>
          </cell>
          <cell r="AK23">
            <v>0.72</v>
          </cell>
          <cell r="AL23">
            <v>0</v>
          </cell>
          <cell r="AM23">
            <v>0.65560874535000002</v>
          </cell>
          <cell r="AN23">
            <v>5.7256087453499998</v>
          </cell>
          <cell r="AP23">
            <v>0</v>
          </cell>
          <cell r="AQ23">
            <v>0</v>
          </cell>
          <cell r="AS23">
            <v>0</v>
          </cell>
        </row>
        <row r="24">
          <cell r="A24" t="str">
            <v>LFTM</v>
          </cell>
          <cell r="B24" t="str">
            <v xml:space="preserve">Local Fizz Tirage Manual bottle </v>
          </cell>
          <cell r="C24" t="str">
            <v>L</v>
          </cell>
          <cell r="F24">
            <v>12</v>
          </cell>
          <cell r="G24" t="str">
            <v>MCAG</v>
          </cell>
          <cell r="H24" t="str">
            <v>CS</v>
          </cell>
          <cell r="I24" t="str">
            <v>Y</v>
          </cell>
          <cell r="J24" t="str">
            <v>CELL</v>
          </cell>
          <cell r="K24" t="str">
            <v>CELL</v>
          </cell>
          <cell r="L24" t="str">
            <v>C</v>
          </cell>
          <cell r="M24" t="str">
            <v>NR</v>
          </cell>
          <cell r="N24">
            <v>0</v>
          </cell>
          <cell r="O24">
            <v>9</v>
          </cell>
          <cell r="P24">
            <v>56</v>
          </cell>
          <cell r="Q24">
            <v>0</v>
          </cell>
          <cell r="R24">
            <v>0.25</v>
          </cell>
          <cell r="S24">
            <v>8.64</v>
          </cell>
          <cell r="T24">
            <v>0.72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AB24">
            <v>4</v>
          </cell>
          <cell r="AC24">
            <v>138.88888888888889</v>
          </cell>
          <cell r="AH24">
            <v>0.82949308755760376</v>
          </cell>
          <cell r="AJ24">
            <v>0</v>
          </cell>
          <cell r="AK24">
            <v>9.3600000000000012</v>
          </cell>
          <cell r="AL24">
            <v>0.82949308755760376</v>
          </cell>
          <cell r="AM24">
            <v>0.94407659330399996</v>
          </cell>
          <cell r="AN24">
            <v>11.133569680861605</v>
          </cell>
          <cell r="AP24">
            <v>0</v>
          </cell>
          <cell r="AQ24">
            <v>0</v>
          </cell>
          <cell r="AS24">
            <v>0</v>
          </cell>
        </row>
        <row r="25">
          <cell r="A25" t="str">
            <v>LFTMNB</v>
          </cell>
          <cell r="B25" t="str">
            <v>Local Fizz Tirage Manual bottle (no bottles)</v>
          </cell>
          <cell r="C25" t="str">
            <v>L</v>
          </cell>
          <cell r="F25">
            <v>12</v>
          </cell>
          <cell r="G25" t="str">
            <v>NR</v>
          </cell>
          <cell r="H25" t="str">
            <v>CS</v>
          </cell>
          <cell r="I25" t="str">
            <v>Y</v>
          </cell>
          <cell r="J25" t="str">
            <v>CELL</v>
          </cell>
          <cell r="K25" t="str">
            <v>NR</v>
          </cell>
          <cell r="L25" t="str">
            <v>B</v>
          </cell>
          <cell r="M25" t="str">
            <v>NR</v>
          </cell>
          <cell r="N25">
            <v>0</v>
          </cell>
          <cell r="O25">
            <v>9</v>
          </cell>
          <cell r="P25">
            <v>36</v>
          </cell>
          <cell r="Q25">
            <v>0</v>
          </cell>
          <cell r="R25">
            <v>0</v>
          </cell>
          <cell r="S25">
            <v>0</v>
          </cell>
          <cell r="T25">
            <v>0.72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AB25">
            <v>4</v>
          </cell>
          <cell r="AC25">
            <v>138.88888888888889</v>
          </cell>
          <cell r="AJ25">
            <v>0</v>
          </cell>
          <cell r="AK25">
            <v>0.72</v>
          </cell>
          <cell r="AL25">
            <v>0</v>
          </cell>
          <cell r="AM25">
            <v>0.94407659330399996</v>
          </cell>
          <cell r="AN25">
            <v>1.6640765933039998</v>
          </cell>
          <cell r="AP25">
            <v>0</v>
          </cell>
          <cell r="AQ25">
            <v>0</v>
          </cell>
          <cell r="AS25">
            <v>0</v>
          </cell>
        </row>
        <row r="26">
          <cell r="A26" t="str">
            <v>XFT</v>
          </cell>
          <cell r="B26" t="str">
            <v>Contract Fizz Tirage (no filtration)</v>
          </cell>
          <cell r="C26" t="str">
            <v>L</v>
          </cell>
          <cell r="F26">
            <v>12</v>
          </cell>
          <cell r="G26" t="str">
            <v>MCAG</v>
          </cell>
          <cell r="H26" t="str">
            <v>CS</v>
          </cell>
          <cell r="I26" t="str">
            <v>Y</v>
          </cell>
          <cell r="J26" t="str">
            <v>CELL</v>
          </cell>
          <cell r="K26" t="str">
            <v>CELL</v>
          </cell>
          <cell r="L26" t="str">
            <v>C</v>
          </cell>
          <cell r="M26" t="str">
            <v>NR</v>
          </cell>
          <cell r="N26">
            <v>0</v>
          </cell>
          <cell r="O26">
            <v>9</v>
          </cell>
          <cell r="P26">
            <v>56</v>
          </cell>
          <cell r="Q26">
            <v>0</v>
          </cell>
          <cell r="R26">
            <v>0.25</v>
          </cell>
          <cell r="S26">
            <v>8.64</v>
          </cell>
          <cell r="T26">
            <v>0.72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4.3499999999999996</v>
          </cell>
          <cell r="AB26">
            <v>4</v>
          </cell>
          <cell r="AC26">
            <v>200</v>
          </cell>
          <cell r="AH26">
            <v>0.82949308755760376</v>
          </cell>
          <cell r="AJ26">
            <v>4.3499999999999996</v>
          </cell>
          <cell r="AK26">
            <v>9.3600000000000012</v>
          </cell>
          <cell r="AL26">
            <v>0.82949308755760376</v>
          </cell>
          <cell r="AM26">
            <v>0.65560874535000002</v>
          </cell>
          <cell r="AN26">
            <v>15.195101832907604</v>
          </cell>
          <cell r="AP26">
            <v>0</v>
          </cell>
          <cell r="AQ26">
            <v>0</v>
          </cell>
          <cell r="AS26">
            <v>0</v>
          </cell>
        </row>
        <row r="27">
          <cell r="A27" t="str">
            <v>XFTNB</v>
          </cell>
          <cell r="B27" t="str">
            <v>Contract Fizz Tirage (no bottles/filtration)</v>
          </cell>
          <cell r="C27" t="str">
            <v>L</v>
          </cell>
          <cell r="F27">
            <v>12</v>
          </cell>
          <cell r="G27" t="str">
            <v>NR</v>
          </cell>
          <cell r="H27" t="str">
            <v>CS</v>
          </cell>
          <cell r="I27" t="str">
            <v>Y</v>
          </cell>
          <cell r="J27" t="str">
            <v>CELL</v>
          </cell>
          <cell r="K27" t="str">
            <v>NR</v>
          </cell>
          <cell r="L27" t="str">
            <v>B</v>
          </cell>
          <cell r="M27" t="str">
            <v>NR</v>
          </cell>
          <cell r="N27">
            <v>0</v>
          </cell>
          <cell r="O27">
            <v>9</v>
          </cell>
          <cell r="P27">
            <v>36</v>
          </cell>
          <cell r="Q27">
            <v>0</v>
          </cell>
          <cell r="R27">
            <v>0</v>
          </cell>
          <cell r="S27">
            <v>0</v>
          </cell>
          <cell r="T27">
            <v>0.72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4.3499999999999996</v>
          </cell>
          <cell r="AB27">
            <v>4</v>
          </cell>
          <cell r="AC27">
            <v>200</v>
          </cell>
          <cell r="AJ27">
            <v>4.3499999999999996</v>
          </cell>
          <cell r="AK27">
            <v>0.72</v>
          </cell>
          <cell r="AL27">
            <v>0</v>
          </cell>
          <cell r="AM27">
            <v>0.65560874535000002</v>
          </cell>
          <cell r="AN27">
            <v>5.7256087453499998</v>
          </cell>
          <cell r="AP27">
            <v>0</v>
          </cell>
          <cell r="AQ27">
            <v>0</v>
          </cell>
          <cell r="AS27">
            <v>0</v>
          </cell>
        </row>
        <row r="28">
          <cell r="A28" t="str">
            <v>XFTM</v>
          </cell>
          <cell r="B28" t="str">
            <v>Contract Fizz Tirage Manual bottle (no filtration)</v>
          </cell>
          <cell r="C28" t="str">
            <v>L</v>
          </cell>
          <cell r="F28">
            <v>12</v>
          </cell>
          <cell r="G28" t="str">
            <v>MCAG</v>
          </cell>
          <cell r="H28" t="str">
            <v>CS</v>
          </cell>
          <cell r="I28" t="str">
            <v>Y</v>
          </cell>
          <cell r="J28" t="str">
            <v>CELL</v>
          </cell>
          <cell r="K28" t="str">
            <v>CELL</v>
          </cell>
          <cell r="L28" t="str">
            <v>C</v>
          </cell>
          <cell r="M28" t="str">
            <v>NR</v>
          </cell>
          <cell r="N28">
            <v>0</v>
          </cell>
          <cell r="O28">
            <v>9</v>
          </cell>
          <cell r="P28">
            <v>56</v>
          </cell>
          <cell r="Q28">
            <v>0</v>
          </cell>
          <cell r="R28">
            <v>0.25</v>
          </cell>
          <cell r="S28">
            <v>8.64</v>
          </cell>
          <cell r="T28">
            <v>0.72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AB28">
            <v>4</v>
          </cell>
          <cell r="AC28">
            <v>138.88888888888889</v>
          </cell>
          <cell r="AH28">
            <v>0.82949308755760376</v>
          </cell>
          <cell r="AJ28">
            <v>0</v>
          </cell>
          <cell r="AK28">
            <v>9.3600000000000012</v>
          </cell>
          <cell r="AL28">
            <v>0.82949308755760376</v>
          </cell>
          <cell r="AM28">
            <v>0.94407659330399996</v>
          </cell>
          <cell r="AN28">
            <v>11.133569680861605</v>
          </cell>
          <cell r="AP28">
            <v>0</v>
          </cell>
          <cell r="AQ28">
            <v>0</v>
          </cell>
          <cell r="AS28">
            <v>0</v>
          </cell>
        </row>
        <row r="29">
          <cell r="A29" t="str">
            <v>XFTMNB</v>
          </cell>
          <cell r="B29" t="str">
            <v>Contract Fizz Tirage Manual bottle (no bottles/filtration)</v>
          </cell>
          <cell r="C29" t="str">
            <v>L</v>
          </cell>
          <cell r="F29">
            <v>12</v>
          </cell>
          <cell r="G29" t="str">
            <v>NR</v>
          </cell>
          <cell r="H29" t="str">
            <v>CS</v>
          </cell>
          <cell r="I29" t="str">
            <v>Y</v>
          </cell>
          <cell r="J29" t="str">
            <v>CELL</v>
          </cell>
          <cell r="K29" t="str">
            <v>NR</v>
          </cell>
          <cell r="L29" t="str">
            <v>B</v>
          </cell>
          <cell r="M29" t="str">
            <v>NR</v>
          </cell>
          <cell r="N29">
            <v>0</v>
          </cell>
          <cell r="O29">
            <v>9</v>
          </cell>
          <cell r="P29">
            <v>36</v>
          </cell>
          <cell r="Q29">
            <v>0</v>
          </cell>
          <cell r="R29">
            <v>0</v>
          </cell>
          <cell r="S29">
            <v>0</v>
          </cell>
          <cell r="T29">
            <v>0.72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AB29">
            <v>4</v>
          </cell>
          <cell r="AC29">
            <v>138.88888888888889</v>
          </cell>
          <cell r="AJ29">
            <v>0</v>
          </cell>
          <cell r="AK29">
            <v>0.72</v>
          </cell>
          <cell r="AL29">
            <v>0</v>
          </cell>
          <cell r="AM29">
            <v>0.94407659330399996</v>
          </cell>
          <cell r="AN29">
            <v>1.6640765933039998</v>
          </cell>
          <cell r="AP29">
            <v>0</v>
          </cell>
          <cell r="AQ29">
            <v>0</v>
          </cell>
          <cell r="AS29">
            <v>0</v>
          </cell>
        </row>
        <row r="30">
          <cell r="A30" t="str">
            <v>LFDC</v>
          </cell>
          <cell r="B30" t="str">
            <v>Local Fizz Disgorge Crown Label</v>
          </cell>
          <cell r="C30" t="str">
            <v>L</v>
          </cell>
          <cell r="F30">
            <v>12</v>
          </cell>
          <cell r="G30" t="str">
            <v>NR</v>
          </cell>
          <cell r="H30" t="str">
            <v>CS</v>
          </cell>
          <cell r="J30" t="str">
            <v>FCG</v>
          </cell>
          <cell r="K30" t="str">
            <v>FIZZ</v>
          </cell>
          <cell r="L30" t="str">
            <v>L</v>
          </cell>
          <cell r="M30" t="str">
            <v>LRFB</v>
          </cell>
          <cell r="N30">
            <v>1</v>
          </cell>
          <cell r="O30">
            <v>9</v>
          </cell>
          <cell r="P30">
            <v>48</v>
          </cell>
          <cell r="Q30">
            <v>2</v>
          </cell>
          <cell r="R30">
            <v>2</v>
          </cell>
          <cell r="S30">
            <v>0</v>
          </cell>
          <cell r="T30">
            <v>0.72</v>
          </cell>
          <cell r="U30">
            <v>5.64</v>
          </cell>
          <cell r="V30">
            <v>1.44</v>
          </cell>
          <cell r="W30">
            <v>0.32</v>
          </cell>
          <cell r="X30">
            <v>0.46875</v>
          </cell>
          <cell r="AB30">
            <v>4</v>
          </cell>
          <cell r="AC30">
            <v>20.833333333333332</v>
          </cell>
          <cell r="AD30">
            <v>3</v>
          </cell>
          <cell r="AE30">
            <v>24</v>
          </cell>
          <cell r="AJ30">
            <v>0</v>
          </cell>
          <cell r="AK30">
            <v>8.5887499999999992</v>
          </cell>
          <cell r="AL30">
            <v>0</v>
          </cell>
          <cell r="AM30">
            <v>10.391398613797499</v>
          </cell>
          <cell r="AN30">
            <v>18.980148613797496</v>
          </cell>
          <cell r="AP30">
            <v>1110</v>
          </cell>
          <cell r="AQ30">
            <v>0</v>
          </cell>
          <cell r="AS30">
            <v>350</v>
          </cell>
        </row>
        <row r="31">
          <cell r="A31" t="str">
            <v>LFDK</v>
          </cell>
          <cell r="B31" t="str">
            <v>Local Fizz Disgorge Cork Label</v>
          </cell>
          <cell r="C31" t="str">
            <v>L</v>
          </cell>
          <cell r="F31">
            <v>12</v>
          </cell>
          <cell r="G31" t="str">
            <v>NR</v>
          </cell>
          <cell r="H31" t="str">
            <v>CK</v>
          </cell>
          <cell r="J31" t="str">
            <v>FKG</v>
          </cell>
          <cell r="K31" t="str">
            <v>FIZZ</v>
          </cell>
          <cell r="L31" t="str">
            <v>L</v>
          </cell>
          <cell r="M31" t="str">
            <v>LRFB</v>
          </cell>
          <cell r="N31">
            <v>1</v>
          </cell>
          <cell r="O31">
            <v>9</v>
          </cell>
          <cell r="P31">
            <v>48</v>
          </cell>
          <cell r="Q31">
            <v>2</v>
          </cell>
          <cell r="R31">
            <v>2</v>
          </cell>
          <cell r="S31">
            <v>0</v>
          </cell>
          <cell r="T31">
            <v>3.2640000000000002</v>
          </cell>
          <cell r="U31">
            <v>5.64</v>
          </cell>
          <cell r="V31">
            <v>1.44</v>
          </cell>
          <cell r="W31">
            <v>0.32</v>
          </cell>
          <cell r="X31">
            <v>0.46875</v>
          </cell>
          <cell r="AB31">
            <v>4</v>
          </cell>
          <cell r="AC31">
            <v>20.833333333333332</v>
          </cell>
          <cell r="AD31">
            <v>3</v>
          </cell>
          <cell r="AE31">
            <v>24</v>
          </cell>
          <cell r="AJ31">
            <v>0</v>
          </cell>
          <cell r="AK31">
            <v>11.132750000000001</v>
          </cell>
          <cell r="AL31">
            <v>0</v>
          </cell>
          <cell r="AM31">
            <v>10.391398613797499</v>
          </cell>
          <cell r="AN31">
            <v>21.5241486137975</v>
          </cell>
          <cell r="AP31">
            <v>0</v>
          </cell>
          <cell r="AQ31">
            <v>0</v>
          </cell>
          <cell r="AS31">
            <v>350</v>
          </cell>
        </row>
        <row r="32">
          <cell r="A32" t="str">
            <v>XFDC</v>
          </cell>
          <cell r="B32" t="str">
            <v>Contract Fizz Disgorge Crown</v>
          </cell>
          <cell r="C32" t="str">
            <v>L</v>
          </cell>
          <cell r="F32">
            <v>12</v>
          </cell>
          <cell r="G32" t="str">
            <v>NR</v>
          </cell>
          <cell r="H32" t="str">
            <v>CS</v>
          </cell>
          <cell r="J32" t="str">
            <v>NR</v>
          </cell>
          <cell r="K32" t="str">
            <v>NR</v>
          </cell>
          <cell r="L32" t="str">
            <v>L</v>
          </cell>
          <cell r="M32" t="str">
            <v>NR</v>
          </cell>
          <cell r="N32">
            <v>0</v>
          </cell>
          <cell r="O32">
            <v>9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0.72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AB32">
            <v>4</v>
          </cell>
          <cell r="AC32">
            <v>20.833333333333332</v>
          </cell>
          <cell r="AJ32">
            <v>0</v>
          </cell>
          <cell r="AK32">
            <v>0.72</v>
          </cell>
          <cell r="AL32">
            <v>0</v>
          </cell>
          <cell r="AM32">
            <v>6.2938439553599999</v>
          </cell>
          <cell r="AN32">
            <v>7.0138439553599996</v>
          </cell>
          <cell r="AP32">
            <v>0</v>
          </cell>
          <cell r="AQ32">
            <v>0</v>
          </cell>
          <cell r="AS32">
            <v>0</v>
          </cell>
          <cell r="AU32">
            <v>9.1684234710588228</v>
          </cell>
          <cell r="AV32">
            <v>0.76403528925490194</v>
          </cell>
          <cell r="AW32">
            <v>925.24673528768619</v>
          </cell>
        </row>
        <row r="33">
          <cell r="A33" t="str">
            <v>XFDCCS</v>
          </cell>
          <cell r="B33" t="str">
            <v>Local Fizz Disgorge Crown plus Cella-stac</v>
          </cell>
          <cell r="C33" t="str">
            <v>L</v>
          </cell>
          <cell r="F33">
            <v>12</v>
          </cell>
          <cell r="G33" t="str">
            <v>NR</v>
          </cell>
          <cell r="H33" t="str">
            <v>CS</v>
          </cell>
          <cell r="J33" t="str">
            <v>CELL</v>
          </cell>
          <cell r="K33" t="str">
            <v>CELL</v>
          </cell>
          <cell r="L33" t="str">
            <v>C</v>
          </cell>
          <cell r="M33" t="str">
            <v>NR</v>
          </cell>
          <cell r="N33">
            <v>0</v>
          </cell>
          <cell r="O33">
            <v>9</v>
          </cell>
          <cell r="P33">
            <v>56</v>
          </cell>
          <cell r="Q33">
            <v>0</v>
          </cell>
          <cell r="R33">
            <v>0.25</v>
          </cell>
          <cell r="S33">
            <v>0</v>
          </cell>
          <cell r="T33">
            <v>0.72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AB33">
            <v>4</v>
          </cell>
          <cell r="AC33">
            <v>20.833333333333332</v>
          </cell>
          <cell r="AJ33">
            <v>0</v>
          </cell>
          <cell r="AK33">
            <v>0.72</v>
          </cell>
          <cell r="AL33">
            <v>0</v>
          </cell>
          <cell r="AM33">
            <v>6.2938439553599999</v>
          </cell>
          <cell r="AN33">
            <v>7.0138439553599996</v>
          </cell>
          <cell r="AP33">
            <v>0</v>
          </cell>
          <cell r="AQ33">
            <v>0</v>
          </cell>
          <cell r="AS33">
            <v>0</v>
          </cell>
          <cell r="AU33">
            <v>9.1684234710588228</v>
          </cell>
        </row>
        <row r="34">
          <cell r="A34" t="str">
            <v>FILL</v>
          </cell>
          <cell r="B34" t="str">
            <v>Nothing, but prevents errors</v>
          </cell>
          <cell r="C34" t="str">
            <v>L</v>
          </cell>
          <cell r="F34">
            <v>12</v>
          </cell>
          <cell r="G34" t="str">
            <v>NR</v>
          </cell>
          <cell r="H34" t="str">
            <v>NR</v>
          </cell>
          <cell r="J34" t="str">
            <v>NR</v>
          </cell>
          <cell r="K34" t="str">
            <v>NR</v>
          </cell>
          <cell r="L34" t="str">
            <v>NR</v>
          </cell>
          <cell r="M34" t="str">
            <v>NR</v>
          </cell>
          <cell r="N34">
            <v>0</v>
          </cell>
          <cell r="O34">
            <v>9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P34">
            <v>950</v>
          </cell>
          <cell r="AQ34">
            <v>0</v>
          </cell>
          <cell r="AS34">
            <v>0</v>
          </cell>
        </row>
        <row r="35">
          <cell r="A35" t="str">
            <v>OZWSS</v>
          </cell>
          <cell r="B35" t="str">
            <v>Ozpak White Standard Small</v>
          </cell>
          <cell r="C35" t="str">
            <v>C</v>
          </cell>
          <cell r="D35">
            <v>1000</v>
          </cell>
          <cell r="E35">
            <v>3000</v>
          </cell>
          <cell r="F35">
            <v>12</v>
          </cell>
          <cell r="G35" t="str">
            <v>CPBBFG</v>
          </cell>
          <cell r="H35" t="str">
            <v>SCG</v>
          </cell>
          <cell r="J35" t="str">
            <v>PBG</v>
          </cell>
          <cell r="K35" t="str">
            <v>CONTRACT</v>
          </cell>
          <cell r="L35" t="str">
            <v>O</v>
          </cell>
          <cell r="M35" t="str">
            <v>CFBL</v>
          </cell>
          <cell r="N35">
            <v>1</v>
          </cell>
          <cell r="O35">
            <v>9</v>
          </cell>
          <cell r="P35">
            <v>64</v>
          </cell>
          <cell r="Q35">
            <v>1</v>
          </cell>
          <cell r="R35">
            <v>1</v>
          </cell>
          <cell r="S35">
            <v>5.4431000000000003</v>
          </cell>
          <cell r="T35">
            <v>2.04</v>
          </cell>
          <cell r="U35">
            <v>1.56</v>
          </cell>
          <cell r="V35">
            <v>0.93</v>
          </cell>
          <cell r="W35">
            <v>0.16</v>
          </cell>
          <cell r="X35">
            <v>0.30620000000000003</v>
          </cell>
          <cell r="Y35">
            <v>2.85</v>
          </cell>
          <cell r="Z35">
            <v>0.15</v>
          </cell>
          <cell r="AA35">
            <v>0.42000000000000004</v>
          </cell>
          <cell r="AG35">
            <v>0.08</v>
          </cell>
          <cell r="AI35">
            <v>65.539999999999992</v>
          </cell>
          <cell r="AJ35">
            <v>9.3292999999999999</v>
          </cell>
          <cell r="AK35">
            <v>4.53</v>
          </cell>
          <cell r="AL35">
            <v>1.7440624999999998</v>
          </cell>
          <cell r="AM35">
            <v>0</v>
          </cell>
          <cell r="AN35">
            <v>15.603362500000001</v>
          </cell>
          <cell r="AP35">
            <v>0</v>
          </cell>
          <cell r="AQ35">
            <v>0</v>
          </cell>
          <cell r="AS35">
            <v>350</v>
          </cell>
        </row>
        <row r="36">
          <cell r="A36" t="str">
            <v>OZWSL</v>
          </cell>
          <cell r="B36" t="str">
            <v>Ozpak White Standard Large</v>
          </cell>
          <cell r="C36" t="str">
            <v>C</v>
          </cell>
          <cell r="D36">
            <v>3000</v>
          </cell>
          <cell r="E36" t="str">
            <v>More</v>
          </cell>
          <cell r="F36">
            <v>12</v>
          </cell>
          <cell r="G36" t="str">
            <v>CPBBFG</v>
          </cell>
          <cell r="H36" t="str">
            <v>SCG</v>
          </cell>
          <cell r="J36" t="str">
            <v>PBG</v>
          </cell>
          <cell r="K36" t="str">
            <v>CONTRACT</v>
          </cell>
          <cell r="L36" t="str">
            <v>O</v>
          </cell>
          <cell r="M36" t="str">
            <v>CFBL</v>
          </cell>
          <cell r="N36">
            <v>1</v>
          </cell>
          <cell r="O36">
            <v>9</v>
          </cell>
          <cell r="P36">
            <v>64</v>
          </cell>
          <cell r="Q36">
            <v>1</v>
          </cell>
          <cell r="R36">
            <v>1</v>
          </cell>
          <cell r="S36">
            <v>5.4431000000000003</v>
          </cell>
          <cell r="T36">
            <v>2.04</v>
          </cell>
          <cell r="U36">
            <v>1.56</v>
          </cell>
          <cell r="V36">
            <v>0.93</v>
          </cell>
          <cell r="W36">
            <v>0.16</v>
          </cell>
          <cell r="X36">
            <v>0.30620000000000003</v>
          </cell>
          <cell r="Y36">
            <v>2.7</v>
          </cell>
          <cell r="Z36">
            <v>0.15</v>
          </cell>
          <cell r="AA36">
            <v>0.42000000000000004</v>
          </cell>
          <cell r="AG36">
            <v>0.08</v>
          </cell>
          <cell r="AI36">
            <v>65.539999999999992</v>
          </cell>
          <cell r="AJ36">
            <v>9.1793000000000013</v>
          </cell>
          <cell r="AK36">
            <v>4.53</v>
          </cell>
          <cell r="AL36">
            <v>1.7440624999999998</v>
          </cell>
          <cell r="AM36">
            <v>0</v>
          </cell>
          <cell r="AN36">
            <v>15.453362500000003</v>
          </cell>
          <cell r="AP36">
            <v>0</v>
          </cell>
          <cell r="AQ36">
            <v>0</v>
          </cell>
          <cell r="AS36">
            <v>350</v>
          </cell>
        </row>
        <row r="37">
          <cell r="A37" t="str">
            <v>OZWSWW</v>
          </cell>
          <cell r="B37" t="str">
            <v>Ozpak White Standard Woolworths</v>
          </cell>
          <cell r="C37" t="str">
            <v>C</v>
          </cell>
          <cell r="F37">
            <v>12</v>
          </cell>
          <cell r="G37" t="str">
            <v>CPBBFG</v>
          </cell>
          <cell r="H37" t="str">
            <v>SCG</v>
          </cell>
          <cell r="J37" t="str">
            <v>PBWW</v>
          </cell>
          <cell r="K37" t="str">
            <v>CONTRACTWW</v>
          </cell>
          <cell r="L37" t="str">
            <v>O</v>
          </cell>
          <cell r="M37" t="str">
            <v>CFBL</v>
          </cell>
          <cell r="N37">
            <v>1</v>
          </cell>
          <cell r="O37">
            <v>9</v>
          </cell>
          <cell r="P37">
            <v>64</v>
          </cell>
          <cell r="Q37">
            <v>2</v>
          </cell>
          <cell r="R37">
            <v>2</v>
          </cell>
          <cell r="S37">
            <v>5.4431000000000003</v>
          </cell>
          <cell r="T37">
            <v>2.04</v>
          </cell>
          <cell r="U37">
            <v>1.56</v>
          </cell>
          <cell r="V37">
            <v>1.022</v>
          </cell>
          <cell r="W37">
            <v>0.186</v>
          </cell>
          <cell r="X37">
            <v>0.30620000000000003</v>
          </cell>
          <cell r="Y37">
            <v>5.7</v>
          </cell>
          <cell r="Z37">
            <v>0.15</v>
          </cell>
          <cell r="AA37">
            <v>0.1968</v>
          </cell>
          <cell r="AG37">
            <v>0.08</v>
          </cell>
          <cell r="AI37">
            <v>65.539999999999992</v>
          </cell>
          <cell r="AJ37">
            <v>11.982099999999999</v>
          </cell>
          <cell r="AK37">
            <v>4.6219999999999999</v>
          </cell>
          <cell r="AL37">
            <v>1.7440624999999998</v>
          </cell>
          <cell r="AM37">
            <v>0</v>
          </cell>
          <cell r="AN37">
            <v>18.348162499999997</v>
          </cell>
          <cell r="AP37">
            <v>0</v>
          </cell>
          <cell r="AQ37">
            <v>0</v>
          </cell>
          <cell r="AS37">
            <v>350</v>
          </cell>
        </row>
        <row r="38">
          <cell r="A38" t="str">
            <v>OZRSS</v>
          </cell>
          <cell r="B38" t="str">
            <v>Ozpak Red Standard Small</v>
          </cell>
          <cell r="C38" t="str">
            <v>C</v>
          </cell>
          <cell r="D38">
            <v>1000</v>
          </cell>
          <cell r="E38">
            <v>3000</v>
          </cell>
          <cell r="F38">
            <v>12</v>
          </cell>
          <cell r="G38" t="str">
            <v>CPCBAG</v>
          </cell>
          <cell r="H38" t="str">
            <v>SCG</v>
          </cell>
          <cell r="J38" t="str">
            <v>PCG</v>
          </cell>
          <cell r="K38" t="str">
            <v>CONTRACT</v>
          </cell>
          <cell r="L38" t="str">
            <v>O</v>
          </cell>
          <cell r="M38" t="str">
            <v>CFBL</v>
          </cell>
          <cell r="N38">
            <v>1</v>
          </cell>
          <cell r="O38">
            <v>9</v>
          </cell>
          <cell r="P38">
            <v>64</v>
          </cell>
          <cell r="Q38">
            <v>1</v>
          </cell>
          <cell r="R38">
            <v>1</v>
          </cell>
          <cell r="S38">
            <v>5.4431000000000003</v>
          </cell>
          <cell r="T38">
            <v>2.04</v>
          </cell>
          <cell r="U38">
            <v>1.56</v>
          </cell>
          <cell r="V38">
            <v>1.71</v>
          </cell>
          <cell r="W38">
            <v>0.16</v>
          </cell>
          <cell r="X38">
            <v>0.30620000000000003</v>
          </cell>
          <cell r="Y38">
            <v>2.85</v>
          </cell>
          <cell r="Z38">
            <v>0.15</v>
          </cell>
          <cell r="AA38">
            <v>0.42000000000000004</v>
          </cell>
          <cell r="AG38">
            <v>0.08</v>
          </cell>
          <cell r="AI38">
            <v>65.539999999999992</v>
          </cell>
          <cell r="AJ38">
            <v>9.3292999999999999</v>
          </cell>
          <cell r="AK38">
            <v>5.3100000000000005</v>
          </cell>
          <cell r="AL38">
            <v>1.7440624999999998</v>
          </cell>
          <cell r="AM38">
            <v>0</v>
          </cell>
          <cell r="AN38">
            <v>16.3833625</v>
          </cell>
          <cell r="AP38">
            <v>0</v>
          </cell>
          <cell r="AQ38">
            <v>0</v>
          </cell>
          <cell r="AS38">
            <v>350</v>
          </cell>
        </row>
        <row r="39">
          <cell r="A39" t="str">
            <v>OZRSL</v>
          </cell>
          <cell r="B39" t="str">
            <v>Ozpak Red Standard Large</v>
          </cell>
          <cell r="C39" t="str">
            <v>C</v>
          </cell>
          <cell r="D39">
            <v>3000</v>
          </cell>
          <cell r="E39" t="str">
            <v>More</v>
          </cell>
          <cell r="F39">
            <v>12</v>
          </cell>
          <cell r="G39" t="str">
            <v>CPCBAG</v>
          </cell>
          <cell r="H39" t="str">
            <v>SCG</v>
          </cell>
          <cell r="J39" t="str">
            <v>PCG</v>
          </cell>
          <cell r="K39" t="str">
            <v>CONTRACT</v>
          </cell>
          <cell r="L39" t="str">
            <v>O</v>
          </cell>
          <cell r="M39" t="str">
            <v>CFBL</v>
          </cell>
          <cell r="N39">
            <v>1</v>
          </cell>
          <cell r="O39">
            <v>9</v>
          </cell>
          <cell r="P39">
            <v>64</v>
          </cell>
          <cell r="Q39">
            <v>1</v>
          </cell>
          <cell r="R39">
            <v>1</v>
          </cell>
          <cell r="S39">
            <v>5.4431000000000003</v>
          </cell>
          <cell r="T39">
            <v>2.04</v>
          </cell>
          <cell r="U39">
            <v>1.56</v>
          </cell>
          <cell r="V39">
            <v>1.71</v>
          </cell>
          <cell r="W39">
            <v>0.16</v>
          </cell>
          <cell r="X39">
            <v>0.30620000000000003</v>
          </cell>
          <cell r="Y39">
            <v>2.7</v>
          </cell>
          <cell r="Z39">
            <v>0.15</v>
          </cell>
          <cell r="AA39">
            <v>0.42000000000000004</v>
          </cell>
          <cell r="AG39">
            <v>0.08</v>
          </cell>
          <cell r="AI39">
            <v>65.539999999999992</v>
          </cell>
          <cell r="AJ39">
            <v>9.1793000000000013</v>
          </cell>
          <cell r="AK39">
            <v>5.3100000000000005</v>
          </cell>
          <cell r="AL39">
            <v>1.7440624999999998</v>
          </cell>
          <cell r="AM39">
            <v>0</v>
          </cell>
          <cell r="AN39">
            <v>16.233362500000002</v>
          </cell>
          <cell r="AP39">
            <v>0</v>
          </cell>
          <cell r="AQ39">
            <v>0</v>
          </cell>
          <cell r="AS39">
            <v>350</v>
          </cell>
        </row>
        <row r="40">
          <cell r="A40" t="str">
            <v>OZRSWW</v>
          </cell>
          <cell r="B40" t="str">
            <v>Ozpak Red Standard Woolworths</v>
          </cell>
          <cell r="C40" t="str">
            <v>C</v>
          </cell>
          <cell r="F40">
            <v>12</v>
          </cell>
          <cell r="G40" t="str">
            <v>CPCBAG</v>
          </cell>
          <cell r="H40" t="str">
            <v>SCG</v>
          </cell>
          <cell r="J40" t="str">
            <v>PCWW</v>
          </cell>
          <cell r="K40" t="str">
            <v>CONTRACTWW</v>
          </cell>
          <cell r="L40" t="str">
            <v>O</v>
          </cell>
          <cell r="M40" t="str">
            <v>CFBL</v>
          </cell>
          <cell r="N40">
            <v>1</v>
          </cell>
          <cell r="O40">
            <v>9</v>
          </cell>
          <cell r="P40">
            <v>64</v>
          </cell>
          <cell r="Q40">
            <v>2</v>
          </cell>
          <cell r="R40">
            <v>2</v>
          </cell>
          <cell r="S40">
            <v>5.4431000000000003</v>
          </cell>
          <cell r="T40">
            <v>2.04</v>
          </cell>
          <cell r="U40">
            <v>1.56</v>
          </cell>
          <cell r="V40">
            <v>0.98399999999999999</v>
          </cell>
          <cell r="W40">
            <v>0.186</v>
          </cell>
          <cell r="X40">
            <v>0.30620000000000003</v>
          </cell>
          <cell r="Y40">
            <v>5.7</v>
          </cell>
          <cell r="Z40">
            <v>0.15</v>
          </cell>
          <cell r="AA40">
            <v>0.33180000000000004</v>
          </cell>
          <cell r="AG40">
            <v>0.08</v>
          </cell>
          <cell r="AI40">
            <v>65.539999999999992</v>
          </cell>
          <cell r="AJ40">
            <v>12.117100000000001</v>
          </cell>
          <cell r="AK40">
            <v>4.5839999999999996</v>
          </cell>
          <cell r="AL40">
            <v>1.7440624999999998</v>
          </cell>
          <cell r="AM40">
            <v>0</v>
          </cell>
          <cell r="AN40">
            <v>18.445162499999999</v>
          </cell>
          <cell r="AP40">
            <v>0</v>
          </cell>
          <cell r="AQ40">
            <v>0</v>
          </cell>
          <cell r="AS40">
            <v>350</v>
          </cell>
        </row>
        <row r="41">
          <cell r="A41" t="str">
            <v>OZRLRS</v>
          </cell>
          <cell r="B41" t="str">
            <v>Ozpak Red LR Small</v>
          </cell>
          <cell r="C41" t="str">
            <v>C</v>
          </cell>
          <cell r="D41">
            <v>1000</v>
          </cell>
          <cell r="E41">
            <v>2000</v>
          </cell>
          <cell r="F41">
            <v>12</v>
          </cell>
          <cell r="G41" t="str">
            <v>CPCBAG</v>
          </cell>
          <cell r="H41" t="str">
            <v>SCG</v>
          </cell>
          <cell r="J41" t="str">
            <v>PCLR</v>
          </cell>
          <cell r="K41" t="str">
            <v>CONTRACT</v>
          </cell>
          <cell r="L41" t="str">
            <v>O</v>
          </cell>
          <cell r="M41" t="str">
            <v>LRFB</v>
          </cell>
          <cell r="N41">
            <v>1</v>
          </cell>
          <cell r="O41">
            <v>9</v>
          </cell>
          <cell r="P41">
            <v>64</v>
          </cell>
          <cell r="Q41">
            <v>1</v>
          </cell>
          <cell r="R41">
            <v>1</v>
          </cell>
          <cell r="S41">
            <v>5.4431000000000003</v>
          </cell>
          <cell r="T41">
            <v>2.04</v>
          </cell>
          <cell r="U41">
            <v>5.64</v>
          </cell>
          <cell r="V41">
            <v>1</v>
          </cell>
          <cell r="W41">
            <v>0.16</v>
          </cell>
          <cell r="X41">
            <v>0.30620000000000003</v>
          </cell>
          <cell r="Y41">
            <v>2.93</v>
          </cell>
          <cell r="Z41">
            <v>0.15</v>
          </cell>
          <cell r="AA41">
            <v>0.42000000000000004</v>
          </cell>
          <cell r="AG41">
            <v>0.08</v>
          </cell>
          <cell r="AI41">
            <v>65.539999999999992</v>
          </cell>
          <cell r="AJ41">
            <v>9.4093</v>
          </cell>
          <cell r="AK41">
            <v>8.68</v>
          </cell>
          <cell r="AL41">
            <v>1.7440624999999998</v>
          </cell>
          <cell r="AM41">
            <v>0</v>
          </cell>
          <cell r="AN41">
            <v>19.8333625</v>
          </cell>
          <cell r="AP41">
            <v>0</v>
          </cell>
          <cell r="AQ41">
            <v>0</v>
          </cell>
          <cell r="AS41">
            <v>350</v>
          </cell>
        </row>
        <row r="48">
          <cell r="C48">
            <v>1</v>
          </cell>
        </row>
      </sheetData>
      <sheetData sheetId="22">
        <row r="21">
          <cell r="C21" t="str">
            <v>Labour Type</v>
          </cell>
          <cell r="D21" t="str">
            <v>Ferment Load Factor</v>
          </cell>
          <cell r="E21" t="str">
            <v>Maintenance Load Factor</v>
          </cell>
          <cell r="F21" t="str">
            <v>WhiteFactor</v>
          </cell>
          <cell r="G21" t="str">
            <v>RedFactor</v>
          </cell>
        </row>
        <row r="22">
          <cell r="C22" t="str">
            <v>Simple</v>
          </cell>
          <cell r="D22">
            <v>1</v>
          </cell>
          <cell r="E22">
            <v>1</v>
          </cell>
        </row>
        <row r="23">
          <cell r="C23" t="str">
            <v>Oak-light</v>
          </cell>
          <cell r="D23">
            <v>2</v>
          </cell>
          <cell r="E23">
            <v>2</v>
          </cell>
          <cell r="F23">
            <v>0.25</v>
          </cell>
          <cell r="G23">
            <v>0.25</v>
          </cell>
        </row>
        <row r="24">
          <cell r="C24" t="str">
            <v>Oak-heavy</v>
          </cell>
          <cell r="D24">
            <v>3</v>
          </cell>
          <cell r="E24">
            <v>3</v>
          </cell>
          <cell r="F24">
            <v>0.5</v>
          </cell>
          <cell r="G24">
            <v>0.5</v>
          </cell>
        </row>
        <row r="25">
          <cell r="C25" t="str">
            <v>Bottle only</v>
          </cell>
          <cell r="D25">
            <v>0</v>
          </cell>
          <cell r="E25">
            <v>0.25</v>
          </cell>
          <cell r="F25">
            <v>0.5</v>
          </cell>
          <cell r="G25">
            <v>0.5</v>
          </cell>
        </row>
      </sheetData>
      <sheetData sheetId="23" refreshError="1"/>
      <sheetData sheetId="24" refreshError="1"/>
      <sheetData sheetId="25">
        <row r="2">
          <cell r="A2" t="str">
            <v>Code</v>
          </cell>
          <cell r="B2" t="str">
            <v>Master</v>
          </cell>
          <cell r="C2" t="str">
            <v>Name</v>
          </cell>
        </row>
        <row r="3">
          <cell r="A3">
            <v>50</v>
          </cell>
          <cell r="B3">
            <v>50</v>
          </cell>
          <cell r="C3" t="str">
            <v>Grants Income (Top Level Budget)</v>
          </cell>
        </row>
        <row r="4">
          <cell r="A4">
            <v>501</v>
          </cell>
          <cell r="B4">
            <v>50</v>
          </cell>
          <cell r="C4" t="str">
            <v>DIISRTE Operating Grants</v>
          </cell>
        </row>
        <row r="5">
          <cell r="A5">
            <v>502</v>
          </cell>
          <cell r="B5">
            <v>50</v>
          </cell>
          <cell r="C5" t="str">
            <v>DIISRTE HECS Trust Fund</v>
          </cell>
        </row>
        <row r="6">
          <cell r="A6">
            <v>507</v>
          </cell>
          <cell r="B6">
            <v>50</v>
          </cell>
          <cell r="C6" t="str">
            <v>DIISRTE FEE HELP</v>
          </cell>
        </row>
        <row r="7">
          <cell r="A7">
            <v>508</v>
          </cell>
          <cell r="B7">
            <v>50</v>
          </cell>
          <cell r="C7" t="str">
            <v>DIISRTE Research Grants</v>
          </cell>
        </row>
        <row r="8">
          <cell r="A8">
            <v>509</v>
          </cell>
          <cell r="B8">
            <v>50</v>
          </cell>
          <cell r="C8" t="str">
            <v>DIISRTE HESA Scholarships</v>
          </cell>
        </row>
        <row r="9">
          <cell r="A9">
            <v>510</v>
          </cell>
          <cell r="B9">
            <v>50</v>
          </cell>
          <cell r="C9" t="str">
            <v>DIISRTE Miscellaneous Grants</v>
          </cell>
        </row>
        <row r="10">
          <cell r="A10">
            <v>511</v>
          </cell>
          <cell r="B10">
            <v>50</v>
          </cell>
          <cell r="C10" t="str">
            <v>DIISRTE HEPPP Funding</v>
          </cell>
        </row>
        <row r="11">
          <cell r="A11">
            <v>512</v>
          </cell>
          <cell r="B11">
            <v>50</v>
          </cell>
          <cell r="C11" t="str">
            <v>DIISRTE Indigenous Staff Scholarships</v>
          </cell>
        </row>
        <row r="12">
          <cell r="A12">
            <v>513</v>
          </cell>
          <cell r="B12">
            <v>50</v>
          </cell>
          <cell r="C12" t="str">
            <v>DIISRTE SA-HELP Advance</v>
          </cell>
        </row>
        <row r="13">
          <cell r="A13">
            <v>52</v>
          </cell>
          <cell r="B13">
            <v>52</v>
          </cell>
          <cell r="C13" t="str">
            <v>Other Grant Income (Top Level Budget)</v>
          </cell>
        </row>
        <row r="14">
          <cell r="A14">
            <v>503</v>
          </cell>
          <cell r="B14">
            <v>52</v>
          </cell>
          <cell r="C14" t="str">
            <v>Other Commonwealth Grants</v>
          </cell>
        </row>
        <row r="15">
          <cell r="A15">
            <v>504</v>
          </cell>
          <cell r="B15">
            <v>52</v>
          </cell>
          <cell r="C15" t="str">
            <v>State Grants</v>
          </cell>
        </row>
        <row r="16">
          <cell r="A16">
            <v>505</v>
          </cell>
          <cell r="B16">
            <v>52</v>
          </cell>
          <cell r="C16" t="str">
            <v>Other Grants</v>
          </cell>
        </row>
        <row r="17">
          <cell r="A17">
            <v>53</v>
          </cell>
          <cell r="B17">
            <v>53</v>
          </cell>
          <cell r="C17" t="str">
            <v>Ressearch Grant Income (Top Level Budget)</v>
          </cell>
        </row>
        <row r="18">
          <cell r="A18">
            <v>506</v>
          </cell>
          <cell r="B18">
            <v>53</v>
          </cell>
          <cell r="C18" t="str">
            <v>Research Grants</v>
          </cell>
        </row>
        <row r="19">
          <cell r="A19">
            <v>55</v>
          </cell>
          <cell r="B19">
            <v>55</v>
          </cell>
          <cell r="C19" t="str">
            <v>Fees &amp; Charges - Tuition (Top Level Budget)</v>
          </cell>
        </row>
        <row r="20">
          <cell r="A20">
            <v>520</v>
          </cell>
          <cell r="B20">
            <v>55</v>
          </cell>
          <cell r="C20" t="str">
            <v>Higher Ed. Contrib. Scheme (HECS)</v>
          </cell>
        </row>
        <row r="21">
          <cell r="A21">
            <v>522</v>
          </cell>
          <cell r="B21">
            <v>55</v>
          </cell>
          <cell r="C21" t="str">
            <v>Full Fee Onshore Crs (Regnl Campus)</v>
          </cell>
        </row>
        <row r="22">
          <cell r="A22">
            <v>523</v>
          </cell>
          <cell r="B22">
            <v>55</v>
          </cell>
          <cell r="C22" t="str">
            <v>Full Fee Offshore/Non-Regnl Campus</v>
          </cell>
        </row>
        <row r="23">
          <cell r="A23">
            <v>524</v>
          </cell>
          <cell r="B23">
            <v>55</v>
          </cell>
          <cell r="C23" t="str">
            <v>Post Graduate Award Course Fees</v>
          </cell>
        </row>
        <row r="24">
          <cell r="A24">
            <v>525</v>
          </cell>
          <cell r="B24">
            <v>55</v>
          </cell>
          <cell r="C24" t="str">
            <v>Non-Credit (Cont. Ed.) Course Fees</v>
          </cell>
        </row>
        <row r="25">
          <cell r="A25">
            <v>526</v>
          </cell>
          <cell r="B25">
            <v>55</v>
          </cell>
          <cell r="C25" t="str">
            <v>Associate Student Fees</v>
          </cell>
        </row>
        <row r="26">
          <cell r="A26">
            <v>546</v>
          </cell>
          <cell r="B26">
            <v>55</v>
          </cell>
          <cell r="C26" t="str">
            <v>Fee Paying UG Award Course Fees</v>
          </cell>
        </row>
        <row r="27">
          <cell r="A27">
            <v>549</v>
          </cell>
          <cell r="B27">
            <v>55</v>
          </cell>
          <cell r="C27" t="str">
            <v>Fee Paying Employer Reserved Course Fees</v>
          </cell>
        </row>
        <row r="28">
          <cell r="A28">
            <v>56</v>
          </cell>
          <cell r="B28">
            <v>56</v>
          </cell>
          <cell r="C28" t="str">
            <v>Fees &amp; Charges - Residences (Top Level Bud)</v>
          </cell>
        </row>
        <row r="29">
          <cell r="A29">
            <v>527</v>
          </cell>
          <cell r="B29">
            <v>56</v>
          </cell>
          <cell r="C29" t="str">
            <v>FullTime Student Accommodation Fees</v>
          </cell>
        </row>
        <row r="30">
          <cell r="A30">
            <v>528</v>
          </cell>
          <cell r="B30">
            <v>56</v>
          </cell>
          <cell r="C30" t="str">
            <v>Res School Accommodation Fees</v>
          </cell>
        </row>
        <row r="31">
          <cell r="A31">
            <v>529</v>
          </cell>
          <cell r="B31">
            <v>56</v>
          </cell>
          <cell r="C31" t="str">
            <v>Residences Applic'n/Acceptance Fees</v>
          </cell>
        </row>
        <row r="32">
          <cell r="A32">
            <v>530</v>
          </cell>
          <cell r="B32">
            <v>56</v>
          </cell>
          <cell r="C32" t="str">
            <v>Miscellaneous Accommodation Fees</v>
          </cell>
        </row>
        <row r="33">
          <cell r="A33">
            <v>535</v>
          </cell>
          <cell r="B33">
            <v>56</v>
          </cell>
          <cell r="C33" t="str">
            <v>Conference / Function Charges</v>
          </cell>
        </row>
        <row r="34">
          <cell r="A34">
            <v>57</v>
          </cell>
          <cell r="B34">
            <v>57</v>
          </cell>
          <cell r="C34" t="str">
            <v>Fees &amp; Charges - Other   (Top Level Budget)</v>
          </cell>
        </row>
        <row r="35">
          <cell r="A35">
            <v>531</v>
          </cell>
          <cell r="B35">
            <v>57</v>
          </cell>
          <cell r="C35" t="str">
            <v>Other Student Fees</v>
          </cell>
        </row>
        <row r="36">
          <cell r="A36">
            <v>532</v>
          </cell>
          <cell r="B36">
            <v>57</v>
          </cell>
          <cell r="C36" t="str">
            <v>Workshop Fees</v>
          </cell>
        </row>
        <row r="37">
          <cell r="A37">
            <v>533</v>
          </cell>
          <cell r="B37">
            <v>57</v>
          </cell>
          <cell r="C37" t="str">
            <v>Fees for Services Rendered</v>
          </cell>
        </row>
        <row r="38">
          <cell r="A38">
            <v>534</v>
          </cell>
          <cell r="B38">
            <v>57</v>
          </cell>
          <cell r="C38" t="str">
            <v>Miscellaneous Fees</v>
          </cell>
        </row>
        <row r="39">
          <cell r="A39">
            <v>536</v>
          </cell>
          <cell r="B39">
            <v>57</v>
          </cell>
          <cell r="C39" t="str">
            <v>Debt Recovery Charges</v>
          </cell>
        </row>
        <row r="40">
          <cell r="A40">
            <v>537</v>
          </cell>
          <cell r="B40">
            <v>57</v>
          </cell>
          <cell r="C40" t="str">
            <v>Overseas Student Health Cover Chrgs</v>
          </cell>
        </row>
        <row r="41">
          <cell r="A41">
            <v>538</v>
          </cell>
          <cell r="B41">
            <v>57</v>
          </cell>
          <cell r="C41" t="str">
            <v>Parking Fines</v>
          </cell>
        </row>
        <row r="42">
          <cell r="A42">
            <v>539</v>
          </cell>
          <cell r="B42">
            <v>57</v>
          </cell>
          <cell r="C42" t="str">
            <v>Staff Fees / Charges</v>
          </cell>
        </row>
        <row r="43">
          <cell r="A43">
            <v>540</v>
          </cell>
          <cell r="B43">
            <v>57</v>
          </cell>
          <cell r="C43" t="str">
            <v>Subpoena Charges</v>
          </cell>
        </row>
        <row r="44">
          <cell r="A44">
            <v>541</v>
          </cell>
          <cell r="B44">
            <v>57</v>
          </cell>
          <cell r="C44" t="str">
            <v>Miscellaneous Fines / Charges</v>
          </cell>
        </row>
        <row r="45">
          <cell r="A45">
            <v>542</v>
          </cell>
          <cell r="B45">
            <v>57</v>
          </cell>
          <cell r="C45" t="str">
            <v>Freedom Of Information Charges</v>
          </cell>
        </row>
        <row r="46">
          <cell r="A46">
            <v>543</v>
          </cell>
          <cell r="B46">
            <v>57</v>
          </cell>
          <cell r="C46" t="str">
            <v>CSU Global Contribution</v>
          </cell>
        </row>
        <row r="47">
          <cell r="A47">
            <v>545</v>
          </cell>
          <cell r="B47">
            <v>57</v>
          </cell>
          <cell r="C47" t="str">
            <v>Security Fees</v>
          </cell>
        </row>
        <row r="48">
          <cell r="A48">
            <v>547</v>
          </cell>
          <cell r="B48">
            <v>57</v>
          </cell>
          <cell r="C48" t="str">
            <v>Membership Fees</v>
          </cell>
        </row>
        <row r="49">
          <cell r="A49">
            <v>548</v>
          </cell>
          <cell r="B49">
            <v>57</v>
          </cell>
          <cell r="C49" t="str">
            <v>Ticket sales</v>
          </cell>
        </row>
        <row r="50">
          <cell r="A50">
            <v>58</v>
          </cell>
          <cell r="B50">
            <v>58</v>
          </cell>
          <cell r="C50" t="str">
            <v>Fees &amp; Charges - Amenities (Top Level Bud)</v>
          </cell>
        </row>
        <row r="51">
          <cell r="A51">
            <v>521</v>
          </cell>
          <cell r="B51">
            <v>58</v>
          </cell>
          <cell r="C51" t="str">
            <v>Student Services and Amenities Fee</v>
          </cell>
        </row>
        <row r="52">
          <cell r="A52">
            <v>59</v>
          </cell>
          <cell r="B52">
            <v>59</v>
          </cell>
          <cell r="C52" t="str">
            <v>Sales Income  (Top Level Budget)</v>
          </cell>
        </row>
        <row r="53">
          <cell r="A53">
            <v>560</v>
          </cell>
          <cell r="B53">
            <v>59</v>
          </cell>
          <cell r="C53" t="str">
            <v>Sales of Trading Stock</v>
          </cell>
        </row>
        <row r="54">
          <cell r="A54">
            <v>562</v>
          </cell>
          <cell r="B54">
            <v>59</v>
          </cell>
          <cell r="C54" t="str">
            <v>Proceeds From Sale of Assets</v>
          </cell>
        </row>
        <row r="55">
          <cell r="A55">
            <v>563</v>
          </cell>
          <cell r="B55">
            <v>59</v>
          </cell>
          <cell r="C55" t="str">
            <v>Other Sales</v>
          </cell>
        </row>
        <row r="56">
          <cell r="A56">
            <v>564</v>
          </cell>
          <cell r="B56">
            <v>59</v>
          </cell>
          <cell r="C56" t="str">
            <v>Gain on Sale of Financial Asset (Fin Only)</v>
          </cell>
        </row>
        <row r="57">
          <cell r="A57">
            <v>565</v>
          </cell>
          <cell r="B57">
            <v>59</v>
          </cell>
          <cell r="C57" t="str">
            <v>Sales of Utilities and Services</v>
          </cell>
        </row>
        <row r="58">
          <cell r="A58">
            <v>566</v>
          </cell>
          <cell r="B58">
            <v>59</v>
          </cell>
          <cell r="C58" t="str">
            <v>Sales of Minor Equipment</v>
          </cell>
        </row>
        <row r="59">
          <cell r="A59">
            <v>567</v>
          </cell>
          <cell r="B59">
            <v>59</v>
          </cell>
          <cell r="C59" t="str">
            <v>Central Stores Sales</v>
          </cell>
        </row>
        <row r="60">
          <cell r="A60">
            <v>60</v>
          </cell>
          <cell r="B60">
            <v>60</v>
          </cell>
          <cell r="C60" t="str">
            <v>Other Income  (Top Level Budget)</v>
          </cell>
        </row>
        <row r="61">
          <cell r="A61">
            <v>574</v>
          </cell>
          <cell r="B61">
            <v>60</v>
          </cell>
          <cell r="C61" t="str">
            <v>Research Support Income</v>
          </cell>
        </row>
        <row r="62">
          <cell r="A62">
            <v>575</v>
          </cell>
          <cell r="B62">
            <v>60</v>
          </cell>
          <cell r="C62" t="str">
            <v>Agistment Income</v>
          </cell>
        </row>
        <row r="63">
          <cell r="A63">
            <v>577</v>
          </cell>
          <cell r="B63">
            <v>60</v>
          </cell>
          <cell r="C63" t="str">
            <v>Consultancies</v>
          </cell>
        </row>
        <row r="64">
          <cell r="A64">
            <v>578</v>
          </cell>
          <cell r="B64">
            <v>60</v>
          </cell>
          <cell r="C64" t="str">
            <v>Contracts - Research</v>
          </cell>
        </row>
        <row r="65">
          <cell r="A65">
            <v>579</v>
          </cell>
          <cell r="B65">
            <v>60</v>
          </cell>
          <cell r="C65" t="str">
            <v>Contracts - non-Research/Consultant</v>
          </cell>
        </row>
        <row r="66">
          <cell r="A66">
            <v>580</v>
          </cell>
          <cell r="B66">
            <v>60</v>
          </cell>
          <cell r="C66" t="str">
            <v>Capital Contributions</v>
          </cell>
        </row>
        <row r="67">
          <cell r="A67">
            <v>581</v>
          </cell>
          <cell r="B67">
            <v>60</v>
          </cell>
          <cell r="C67" t="str">
            <v>Commissions &amp; Bounties</v>
          </cell>
        </row>
        <row r="68">
          <cell r="A68">
            <v>582</v>
          </cell>
          <cell r="B68">
            <v>60</v>
          </cell>
          <cell r="C68" t="str">
            <v>Affiliated Bodies Reimbursement</v>
          </cell>
        </row>
        <row r="69">
          <cell r="A69">
            <v>583</v>
          </cell>
          <cell r="B69">
            <v>60</v>
          </cell>
          <cell r="C69" t="str">
            <v>Deferred Super Govt Contributions</v>
          </cell>
        </row>
        <row r="70">
          <cell r="A70">
            <v>584</v>
          </cell>
          <cell r="B70">
            <v>60</v>
          </cell>
          <cell r="C70" t="str">
            <v>Donations</v>
          </cell>
        </row>
        <row r="71">
          <cell r="A71">
            <v>585</v>
          </cell>
          <cell r="B71">
            <v>60</v>
          </cell>
          <cell r="C71" t="str">
            <v>Equipment &amp; Facilities Rental</v>
          </cell>
        </row>
        <row r="72">
          <cell r="A72">
            <v>587</v>
          </cell>
          <cell r="B72">
            <v>60</v>
          </cell>
          <cell r="C72" t="str">
            <v>Scholarships / Prizes</v>
          </cell>
        </row>
        <row r="73">
          <cell r="A73">
            <v>588</v>
          </cell>
          <cell r="B73">
            <v>60</v>
          </cell>
          <cell r="C73" t="str">
            <v>Student Assistance Loans Repayments</v>
          </cell>
        </row>
        <row r="74">
          <cell r="A74">
            <v>589</v>
          </cell>
          <cell r="B74">
            <v>60</v>
          </cell>
          <cell r="C74" t="str">
            <v>Subscriptions</v>
          </cell>
        </row>
        <row r="75">
          <cell r="A75">
            <v>590</v>
          </cell>
          <cell r="B75">
            <v>60</v>
          </cell>
          <cell r="C75" t="str">
            <v>Miscellaneous Income</v>
          </cell>
        </row>
        <row r="76">
          <cell r="A76">
            <v>591</v>
          </cell>
          <cell r="B76">
            <v>60</v>
          </cell>
          <cell r="C76" t="str">
            <v>Travel Reimbursements</v>
          </cell>
        </row>
        <row r="77">
          <cell r="A77">
            <v>592</v>
          </cell>
          <cell r="B77">
            <v>60</v>
          </cell>
          <cell r="C77" t="str">
            <v>Fair Value Gains/Losses</v>
          </cell>
        </row>
        <row r="78">
          <cell r="A78">
            <v>593</v>
          </cell>
          <cell r="B78">
            <v>60</v>
          </cell>
          <cell r="C78" t="str">
            <v>Insurance Reimbursements</v>
          </cell>
        </row>
        <row r="79">
          <cell r="A79">
            <v>594</v>
          </cell>
          <cell r="B79">
            <v>60</v>
          </cell>
          <cell r="C79" t="str">
            <v>Salary Reimbursements</v>
          </cell>
        </row>
        <row r="80">
          <cell r="A80">
            <v>595</v>
          </cell>
          <cell r="B80">
            <v>60</v>
          </cell>
          <cell r="C80" t="str">
            <v>Bad Debts Recovered</v>
          </cell>
        </row>
        <row r="81">
          <cell r="A81">
            <v>596</v>
          </cell>
          <cell r="B81">
            <v>60</v>
          </cell>
          <cell r="C81" t="str">
            <v>Royalties/Trademarks/Licences</v>
          </cell>
        </row>
        <row r="82">
          <cell r="A82">
            <v>597</v>
          </cell>
          <cell r="B82">
            <v>60</v>
          </cell>
          <cell r="C82" t="str">
            <v>Other External Reimbursement</v>
          </cell>
        </row>
        <row r="83">
          <cell r="A83">
            <v>598</v>
          </cell>
          <cell r="B83">
            <v>60</v>
          </cell>
          <cell r="C83" t="str">
            <v>Fuel Rebate</v>
          </cell>
        </row>
        <row r="84">
          <cell r="A84">
            <v>62</v>
          </cell>
          <cell r="B84">
            <v>62</v>
          </cell>
          <cell r="C84" t="str">
            <v>Internal Recoveries  (Top Level Budget)</v>
          </cell>
        </row>
        <row r="85">
          <cell r="A85">
            <v>600</v>
          </cell>
          <cell r="B85">
            <v>62</v>
          </cell>
          <cell r="C85" t="str">
            <v>Recovery of Academic Salary Costs</v>
          </cell>
        </row>
        <row r="86">
          <cell r="A86">
            <v>601</v>
          </cell>
          <cell r="B86">
            <v>62</v>
          </cell>
          <cell r="C86" t="str">
            <v>Recovery of General Salary Costs</v>
          </cell>
        </row>
        <row r="87">
          <cell r="A87">
            <v>602</v>
          </cell>
          <cell r="B87">
            <v>62</v>
          </cell>
          <cell r="C87" t="str">
            <v>Recovery of Library Materials</v>
          </cell>
        </row>
        <row r="88">
          <cell r="A88">
            <v>603</v>
          </cell>
          <cell r="B88">
            <v>62</v>
          </cell>
          <cell r="C88" t="str">
            <v>Recovery of Building &amp; Grounds</v>
          </cell>
        </row>
        <row r="89">
          <cell r="A89">
            <v>617</v>
          </cell>
          <cell r="B89">
            <v>62</v>
          </cell>
          <cell r="C89" t="str">
            <v>Recovery of Res/Cat Maintenance costs</v>
          </cell>
        </row>
        <row r="90">
          <cell r="A90">
            <v>622</v>
          </cell>
          <cell r="B90">
            <v>62</v>
          </cell>
          <cell r="C90" t="str">
            <v>Recovery of Water/Waste &amp; Sewerage</v>
          </cell>
        </row>
        <row r="91">
          <cell r="A91">
            <v>623</v>
          </cell>
          <cell r="B91">
            <v>62</v>
          </cell>
          <cell r="C91" t="str">
            <v>Recovery of Res/Cat Water/Waste/Sewerage</v>
          </cell>
        </row>
        <row r="92">
          <cell r="A92">
            <v>605</v>
          </cell>
          <cell r="B92">
            <v>62</v>
          </cell>
          <cell r="C92" t="str">
            <v>Recovery of Data Services</v>
          </cell>
        </row>
        <row r="93">
          <cell r="A93">
            <v>606</v>
          </cell>
          <cell r="B93">
            <v>62</v>
          </cell>
          <cell r="C93" t="str">
            <v>Recovery of Telephone Call Services</v>
          </cell>
        </row>
        <row r="94">
          <cell r="A94">
            <v>607</v>
          </cell>
          <cell r="B94">
            <v>62</v>
          </cell>
          <cell r="C94" t="str">
            <v>Recovery of Video Services</v>
          </cell>
        </row>
        <row r="95">
          <cell r="A95">
            <v>608</v>
          </cell>
          <cell r="B95">
            <v>62</v>
          </cell>
          <cell r="C95" t="str">
            <v>Recovery of Other Communications</v>
          </cell>
        </row>
        <row r="96">
          <cell r="A96">
            <v>616</v>
          </cell>
          <cell r="B96">
            <v>62</v>
          </cell>
          <cell r="C96" t="str">
            <v>Recov Telephone Services &amp; Equipmnt</v>
          </cell>
        </row>
        <row r="97">
          <cell r="A97">
            <v>626</v>
          </cell>
          <cell r="B97">
            <v>62</v>
          </cell>
          <cell r="C97" t="str">
            <v>Recovery of Courier &amp; Postage</v>
          </cell>
        </row>
        <row r="98">
          <cell r="A98">
            <v>609</v>
          </cell>
          <cell r="B98">
            <v>62</v>
          </cell>
          <cell r="C98" t="str">
            <v>Recovery of Energy Costs</v>
          </cell>
        </row>
        <row r="99">
          <cell r="A99">
            <v>610</v>
          </cell>
          <cell r="B99">
            <v>62</v>
          </cell>
          <cell r="C99" t="str">
            <v>Recovery of Fees for Services</v>
          </cell>
        </row>
        <row r="100">
          <cell r="A100">
            <v>611</v>
          </cell>
          <cell r="B100">
            <v>62</v>
          </cell>
          <cell r="C100" t="str">
            <v>Recovery of Insurance Costs</v>
          </cell>
        </row>
        <row r="101">
          <cell r="A101">
            <v>612</v>
          </cell>
          <cell r="B101">
            <v>62</v>
          </cell>
          <cell r="C101" t="str">
            <v>Recovery of Motor Vehicles Costs</v>
          </cell>
        </row>
        <row r="102">
          <cell r="A102">
            <v>613</v>
          </cell>
          <cell r="B102">
            <v>62</v>
          </cell>
          <cell r="C102" t="str">
            <v>Recovery of Stores &amp; Provisions</v>
          </cell>
        </row>
        <row r="103">
          <cell r="A103">
            <v>614</v>
          </cell>
          <cell r="B103">
            <v>62</v>
          </cell>
          <cell r="C103" t="str">
            <v>Recovery of Travel Costs</v>
          </cell>
        </row>
        <row r="104">
          <cell r="A104">
            <v>615</v>
          </cell>
          <cell r="B104">
            <v>62</v>
          </cell>
          <cell r="C104" t="str">
            <v>Recovery of Miscellaneous Costs</v>
          </cell>
        </row>
        <row r="105">
          <cell r="A105">
            <v>63</v>
          </cell>
          <cell r="B105">
            <v>63</v>
          </cell>
          <cell r="C105" t="str">
            <v>Internal Grant Distributed (Top Level Bud)</v>
          </cell>
        </row>
        <row r="106">
          <cell r="A106">
            <v>630</v>
          </cell>
          <cell r="B106">
            <v>63</v>
          </cell>
          <cell r="C106" t="str">
            <v>DIISRTE Grant Allocation</v>
          </cell>
        </row>
        <row r="107">
          <cell r="A107">
            <v>66</v>
          </cell>
          <cell r="B107">
            <v>66</v>
          </cell>
          <cell r="C107" t="str">
            <v>Internal Distrib. Research (Top Level Bud)</v>
          </cell>
        </row>
        <row r="108">
          <cell r="A108">
            <v>639</v>
          </cell>
          <cell r="B108">
            <v>66</v>
          </cell>
          <cell r="C108" t="str">
            <v>University Research Fund Allocation</v>
          </cell>
        </row>
        <row r="109">
          <cell r="A109">
            <v>67</v>
          </cell>
          <cell r="B109">
            <v>67</v>
          </cell>
          <cell r="C109" t="str">
            <v>Internal Income Distributed (Top Level Bud)</v>
          </cell>
        </row>
        <row r="110">
          <cell r="A110">
            <v>637</v>
          </cell>
          <cell r="B110">
            <v>67</v>
          </cell>
          <cell r="C110" t="str">
            <v>Onshore Overseas Students</v>
          </cell>
        </row>
        <row r="111">
          <cell r="A111">
            <v>638</v>
          </cell>
          <cell r="B111">
            <v>67</v>
          </cell>
          <cell r="C111" t="str">
            <v>Central Superannuation Allocations</v>
          </cell>
        </row>
        <row r="112">
          <cell r="A112">
            <v>639</v>
          </cell>
          <cell r="B112">
            <v>67</v>
          </cell>
          <cell r="C112" t="str">
            <v>Univeristy Research Fund Allocation</v>
          </cell>
        </row>
        <row r="113">
          <cell r="A113">
            <v>640</v>
          </cell>
          <cell r="B113">
            <v>67</v>
          </cell>
          <cell r="C113" t="str">
            <v>Fund Re-allocation</v>
          </cell>
        </row>
        <row r="114">
          <cell r="A114">
            <v>641</v>
          </cell>
          <cell r="B114">
            <v>67</v>
          </cell>
          <cell r="C114" t="str">
            <v>Salary Supplementation</v>
          </cell>
        </row>
        <row r="115">
          <cell r="A115">
            <v>68</v>
          </cell>
          <cell r="B115">
            <v>68</v>
          </cell>
          <cell r="C115" t="str">
            <v>Internal Stud. Income Earned (Top Level Bud)</v>
          </cell>
        </row>
        <row r="116">
          <cell r="A116">
            <v>631</v>
          </cell>
          <cell r="B116">
            <v>68</v>
          </cell>
          <cell r="C116" t="str">
            <v>Onshore Overseas Students</v>
          </cell>
        </row>
        <row r="117">
          <cell r="A117">
            <v>632</v>
          </cell>
          <cell r="B117">
            <v>68</v>
          </cell>
          <cell r="C117" t="str">
            <v>Offshore Overseas Students</v>
          </cell>
        </row>
        <row r="118">
          <cell r="A118">
            <v>633</v>
          </cell>
          <cell r="B118">
            <v>68</v>
          </cell>
          <cell r="C118" t="str">
            <v>Fee paying PG Students</v>
          </cell>
        </row>
        <row r="119">
          <cell r="A119">
            <v>634</v>
          </cell>
          <cell r="B119">
            <v>68</v>
          </cell>
          <cell r="C119" t="str">
            <v>Associate Students</v>
          </cell>
        </row>
        <row r="120">
          <cell r="A120">
            <v>10</v>
          </cell>
          <cell r="B120">
            <v>10</v>
          </cell>
          <cell r="C120" t="str">
            <v>Academic Salaries  (Top Level Budget)</v>
          </cell>
        </row>
        <row r="121">
          <cell r="A121">
            <v>100</v>
          </cell>
          <cell r="B121">
            <v>10</v>
          </cell>
          <cell r="C121" t="str">
            <v>Academic Salaries</v>
          </cell>
        </row>
        <row r="122">
          <cell r="A122">
            <v>102</v>
          </cell>
          <cell r="B122">
            <v>10</v>
          </cell>
          <cell r="C122" t="str">
            <v>Casual Academic Salaies</v>
          </cell>
        </row>
        <row r="123">
          <cell r="A123">
            <v>12</v>
          </cell>
          <cell r="B123">
            <v>12</v>
          </cell>
          <cell r="C123" t="str">
            <v>General Salaries  (Top Level Budget)</v>
          </cell>
        </row>
        <row r="124">
          <cell r="A124">
            <v>120</v>
          </cell>
          <cell r="B124">
            <v>12</v>
          </cell>
          <cell r="C124" t="str">
            <v>General Salaries</v>
          </cell>
        </row>
        <row r="125">
          <cell r="A125">
            <v>122</v>
          </cell>
          <cell r="B125">
            <v>12</v>
          </cell>
          <cell r="C125" t="str">
            <v>Casual Assiatance (General)</v>
          </cell>
        </row>
        <row r="126">
          <cell r="A126">
            <v>123</v>
          </cell>
          <cell r="B126">
            <v>12</v>
          </cell>
          <cell r="C126" t="str">
            <v>Overtime</v>
          </cell>
        </row>
        <row r="127">
          <cell r="A127">
            <v>14</v>
          </cell>
          <cell r="B127">
            <v>14</v>
          </cell>
          <cell r="C127" t="str">
            <v>Superannuation Guarantee (Top Level Bud)</v>
          </cell>
        </row>
        <row r="128">
          <cell r="A128">
            <v>158</v>
          </cell>
          <cell r="B128">
            <v>14</v>
          </cell>
          <cell r="C128" t="str">
            <v>Superannaution Guarantee - Academic</v>
          </cell>
        </row>
        <row r="129">
          <cell r="A129">
            <v>160</v>
          </cell>
          <cell r="B129">
            <v>14</v>
          </cell>
          <cell r="C129" t="str">
            <v>Superannaution Guarantee - General</v>
          </cell>
        </row>
        <row r="130">
          <cell r="A130">
            <v>16</v>
          </cell>
          <cell r="B130">
            <v>16</v>
          </cell>
          <cell r="C130" t="str">
            <v>Other Superannuation (Top Level Bud) - 17%</v>
          </cell>
        </row>
        <row r="131">
          <cell r="A131">
            <v>159</v>
          </cell>
          <cell r="B131">
            <v>16</v>
          </cell>
          <cell r="C131" t="str">
            <v>Other Superannuation - Academic</v>
          </cell>
        </row>
        <row r="132">
          <cell r="A132">
            <v>161</v>
          </cell>
          <cell r="B132">
            <v>16</v>
          </cell>
          <cell r="C132" t="str">
            <v>Other Superannuation - General</v>
          </cell>
        </row>
        <row r="133">
          <cell r="A133">
            <v>17</v>
          </cell>
          <cell r="B133">
            <v>17</v>
          </cell>
          <cell r="C133" t="str">
            <v>Other On-Costs  (Top Level Budget)</v>
          </cell>
        </row>
        <row r="134">
          <cell r="A134">
            <v>170</v>
          </cell>
          <cell r="B134">
            <v>17</v>
          </cell>
          <cell r="C134" t="str">
            <v>On-Cost Academic (Top Level)</v>
          </cell>
        </row>
        <row r="135">
          <cell r="A135">
            <v>171</v>
          </cell>
          <cell r="B135">
            <v>17</v>
          </cell>
          <cell r="C135" t="str">
            <v>Payroll Tax - Academic (5.45%)</v>
          </cell>
        </row>
        <row r="136">
          <cell r="A136">
            <v>172</v>
          </cell>
          <cell r="B136">
            <v>17</v>
          </cell>
          <cell r="C136" t="str">
            <v>Workers Comp - Academic (1%)</v>
          </cell>
        </row>
        <row r="137">
          <cell r="A137">
            <v>170</v>
          </cell>
          <cell r="B137">
            <v>17</v>
          </cell>
          <cell r="C137" t="str">
            <v>On-Cost Academic (TOTAL)</v>
          </cell>
        </row>
        <row r="138">
          <cell r="A138">
            <v>173</v>
          </cell>
          <cell r="B138">
            <v>17</v>
          </cell>
          <cell r="C138" t="str">
            <v>On-Cost General (Top Level)</v>
          </cell>
        </row>
        <row r="139">
          <cell r="A139">
            <v>174</v>
          </cell>
          <cell r="B139">
            <v>17</v>
          </cell>
          <cell r="C139" t="str">
            <v>Payroll Tax - General (5.45%)</v>
          </cell>
        </row>
        <row r="140">
          <cell r="A140">
            <v>175</v>
          </cell>
          <cell r="B140">
            <v>17</v>
          </cell>
          <cell r="C140" t="str">
            <v>Workers Comp - General (1%)</v>
          </cell>
        </row>
        <row r="141">
          <cell r="A141">
            <v>173</v>
          </cell>
          <cell r="B141">
            <v>17</v>
          </cell>
          <cell r="C141" t="str">
            <v>On-Cost General (TOTAL)</v>
          </cell>
        </row>
        <row r="142">
          <cell r="A142">
            <v>22</v>
          </cell>
          <cell r="B142">
            <v>22</v>
          </cell>
          <cell r="C142" t="str">
            <v>Library Materials  (Top Level Budget)</v>
          </cell>
        </row>
        <row r="143">
          <cell r="A143">
            <v>221</v>
          </cell>
          <cell r="B143">
            <v>22</v>
          </cell>
          <cell r="C143" t="str">
            <v>Library Materials (Library Use Only)</v>
          </cell>
        </row>
        <row r="144">
          <cell r="A144">
            <v>222</v>
          </cell>
          <cell r="B144">
            <v>22</v>
          </cell>
          <cell r="C144" t="str">
            <v>Periodicals (Library Use Only)</v>
          </cell>
        </row>
        <row r="145">
          <cell r="A145">
            <v>224</v>
          </cell>
          <cell r="B145">
            <v>22</v>
          </cell>
          <cell r="C145" t="str">
            <v>Library Binding (Library Use Only)</v>
          </cell>
        </row>
        <row r="146">
          <cell r="A146">
            <v>225</v>
          </cell>
          <cell r="B146">
            <v>22</v>
          </cell>
          <cell r="C146" t="str">
            <v>Electronic Infor Res (Library Use Only)</v>
          </cell>
        </row>
        <row r="147">
          <cell r="A147">
            <v>25</v>
          </cell>
          <cell r="B147">
            <v>25</v>
          </cell>
          <cell r="C147" t="str">
            <v>Buidling &amp; Grounds  (Top Level Budget)</v>
          </cell>
        </row>
        <row r="148">
          <cell r="A148">
            <v>248</v>
          </cell>
          <cell r="B148">
            <v>25</v>
          </cell>
          <cell r="C148" t="str">
            <v>Sustainability Initiatives</v>
          </cell>
        </row>
        <row r="149">
          <cell r="A149">
            <v>249</v>
          </cell>
          <cell r="B149">
            <v>25</v>
          </cell>
          <cell r="C149" t="str">
            <v>Minor Building Works</v>
          </cell>
        </row>
        <row r="150">
          <cell r="A150">
            <v>250</v>
          </cell>
          <cell r="B150">
            <v>25</v>
          </cell>
          <cell r="C150" t="str">
            <v>Refurbishment</v>
          </cell>
        </row>
        <row r="151">
          <cell r="A151">
            <v>251</v>
          </cell>
          <cell r="B151">
            <v>25</v>
          </cell>
          <cell r="C151" t="str">
            <v>Improvements</v>
          </cell>
        </row>
        <row r="152">
          <cell r="A152">
            <v>252</v>
          </cell>
          <cell r="B152">
            <v>25</v>
          </cell>
          <cell r="C152" t="str">
            <v>Construction</v>
          </cell>
        </row>
        <row r="153">
          <cell r="A153">
            <v>253</v>
          </cell>
          <cell r="B153">
            <v>25</v>
          </cell>
          <cell r="C153" t="str">
            <v>Carpentry</v>
          </cell>
        </row>
        <row r="154">
          <cell r="A154">
            <v>254</v>
          </cell>
          <cell r="B154">
            <v>25</v>
          </cell>
          <cell r="C154" t="str">
            <v>Cleaning</v>
          </cell>
        </row>
        <row r="155">
          <cell r="A155">
            <v>255</v>
          </cell>
          <cell r="B155">
            <v>25</v>
          </cell>
          <cell r="C155" t="str">
            <v>Communications Cable Plant</v>
          </cell>
        </row>
        <row r="156">
          <cell r="A156">
            <v>256</v>
          </cell>
          <cell r="B156">
            <v>25</v>
          </cell>
          <cell r="C156" t="str">
            <v>Concretework</v>
          </cell>
        </row>
        <row r="157">
          <cell r="A157">
            <v>257</v>
          </cell>
          <cell r="B157">
            <v>25</v>
          </cell>
          <cell r="C157" t="str">
            <v>Electrical</v>
          </cell>
        </row>
        <row r="158">
          <cell r="A158">
            <v>258</v>
          </cell>
          <cell r="B158">
            <v>25</v>
          </cell>
          <cell r="C158" t="str">
            <v>Excavations</v>
          </cell>
        </row>
        <row r="159">
          <cell r="A159">
            <v>259</v>
          </cell>
          <cell r="B159">
            <v>25</v>
          </cell>
          <cell r="C159" t="str">
            <v>Fitments</v>
          </cell>
        </row>
        <row r="160">
          <cell r="A160">
            <v>260</v>
          </cell>
          <cell r="B160">
            <v>25</v>
          </cell>
          <cell r="C160" t="str">
            <v>Floor &amp; Window Coverings</v>
          </cell>
        </row>
        <row r="161">
          <cell r="A161">
            <v>261</v>
          </cell>
          <cell r="B161">
            <v>25</v>
          </cell>
          <cell r="C161" t="str">
            <v>Keys</v>
          </cell>
        </row>
        <row r="162">
          <cell r="A162">
            <v>262</v>
          </cell>
          <cell r="B162">
            <v>25</v>
          </cell>
          <cell r="C162" t="str">
            <v>Landscape Development</v>
          </cell>
        </row>
        <row r="163">
          <cell r="A163">
            <v>263</v>
          </cell>
          <cell r="B163">
            <v>25</v>
          </cell>
          <cell r="C163" t="str">
            <v>Lifts</v>
          </cell>
        </row>
        <row r="164">
          <cell r="A164">
            <v>264</v>
          </cell>
          <cell r="B164">
            <v>25</v>
          </cell>
          <cell r="C164" t="str">
            <v>Mechanical</v>
          </cell>
        </row>
        <row r="165">
          <cell r="A165">
            <v>265</v>
          </cell>
          <cell r="B165">
            <v>25</v>
          </cell>
          <cell r="C165" t="str">
            <v>Other Facility Services</v>
          </cell>
        </row>
        <row r="166">
          <cell r="A166">
            <v>266</v>
          </cell>
          <cell r="B166">
            <v>25</v>
          </cell>
          <cell r="C166" t="str">
            <v>Painter</v>
          </cell>
        </row>
        <row r="167">
          <cell r="A167">
            <v>267</v>
          </cell>
          <cell r="B167">
            <v>25</v>
          </cell>
          <cell r="C167" t="str">
            <v>Plumbing &amp; Drainage</v>
          </cell>
        </row>
        <row r="168">
          <cell r="A168">
            <v>269</v>
          </cell>
          <cell r="B168">
            <v>25</v>
          </cell>
          <cell r="C168" t="str">
            <v>Rented Premises</v>
          </cell>
        </row>
        <row r="169">
          <cell r="A169">
            <v>270</v>
          </cell>
          <cell r="B169">
            <v>25</v>
          </cell>
          <cell r="C169" t="str">
            <v>Roads &amp; Carparks</v>
          </cell>
        </row>
        <row r="170">
          <cell r="A170">
            <v>271</v>
          </cell>
          <cell r="B170">
            <v>25</v>
          </cell>
          <cell r="C170" t="str">
            <v>Signs</v>
          </cell>
        </row>
        <row r="171">
          <cell r="A171">
            <v>272</v>
          </cell>
          <cell r="B171">
            <v>25</v>
          </cell>
          <cell r="C171" t="str">
            <v>Structural Steel</v>
          </cell>
        </row>
        <row r="172">
          <cell r="A172">
            <v>274</v>
          </cell>
          <cell r="B172">
            <v>25</v>
          </cell>
          <cell r="C172" t="str">
            <v>Sewerage</v>
          </cell>
        </row>
        <row r="173">
          <cell r="A173">
            <v>275</v>
          </cell>
          <cell r="B173">
            <v>25</v>
          </cell>
          <cell r="C173" t="str">
            <v>Waste Disposal</v>
          </cell>
        </row>
        <row r="174">
          <cell r="A174">
            <v>276</v>
          </cell>
          <cell r="B174">
            <v>25</v>
          </cell>
          <cell r="C174" t="str">
            <v>Water</v>
          </cell>
        </row>
        <row r="175">
          <cell r="A175">
            <v>277</v>
          </cell>
          <cell r="B175">
            <v>25</v>
          </cell>
          <cell r="C175" t="str">
            <v>Pest Control</v>
          </cell>
        </row>
        <row r="176">
          <cell r="A176">
            <v>279</v>
          </cell>
          <cell r="B176">
            <v>25</v>
          </cell>
          <cell r="C176" t="str">
            <v>Fire Detection &amp; Protection</v>
          </cell>
        </row>
        <row r="177">
          <cell r="A177">
            <v>280</v>
          </cell>
          <cell r="B177">
            <v>25</v>
          </cell>
          <cell r="C177" t="str">
            <v>Farm Maintenance</v>
          </cell>
        </row>
        <row r="178">
          <cell r="A178">
            <v>282</v>
          </cell>
          <cell r="B178">
            <v>25</v>
          </cell>
          <cell r="C178" t="str">
            <v>Residences &amp; Catering Maintenance</v>
          </cell>
        </row>
        <row r="179">
          <cell r="A179">
            <v>283</v>
          </cell>
          <cell r="B179">
            <v>25</v>
          </cell>
          <cell r="C179" t="str">
            <v>Consultancy - Design &amp; Construction</v>
          </cell>
        </row>
        <row r="180">
          <cell r="A180">
            <v>284</v>
          </cell>
          <cell r="B180">
            <v>25</v>
          </cell>
          <cell r="C180" t="str">
            <v>Security Systems</v>
          </cell>
        </row>
        <row r="181">
          <cell r="A181">
            <v>285</v>
          </cell>
          <cell r="B181">
            <v>25</v>
          </cell>
          <cell r="C181" t="str">
            <v>Occ Health &amp; Safety</v>
          </cell>
        </row>
        <row r="182">
          <cell r="A182">
            <v>26</v>
          </cell>
          <cell r="B182">
            <v>26</v>
          </cell>
          <cell r="C182" t="str">
            <v>Captial Devel. Proj (DFM Only) (Top Lvl Bud)</v>
          </cell>
        </row>
        <row r="183">
          <cell r="A183">
            <v>230</v>
          </cell>
          <cell r="B183">
            <v>26</v>
          </cell>
          <cell r="C183" t="str">
            <v>Capital Assets &amp; Equip (&gt;$10,000)</v>
          </cell>
        </row>
        <row r="184">
          <cell r="A184">
            <v>231</v>
          </cell>
          <cell r="B184">
            <v>26</v>
          </cell>
          <cell r="C184" t="str">
            <v>Consultants, Design Fees &amp; Proj Mgt</v>
          </cell>
        </row>
        <row r="185">
          <cell r="A185">
            <v>232</v>
          </cell>
          <cell r="B185">
            <v>26</v>
          </cell>
          <cell r="C185" t="str">
            <v>Construction</v>
          </cell>
        </row>
        <row r="186">
          <cell r="A186">
            <v>233</v>
          </cell>
          <cell r="B186">
            <v>26</v>
          </cell>
          <cell r="C186" t="str">
            <v>Minor &amp; Miscellaneous Ex (&lt;$10,000)</v>
          </cell>
        </row>
        <row r="187">
          <cell r="A187">
            <v>234</v>
          </cell>
          <cell r="B187">
            <v>26</v>
          </cell>
          <cell r="C187" t="str">
            <v>Services &amp; Infrastructure</v>
          </cell>
        </row>
        <row r="188">
          <cell r="A188">
            <v>30</v>
          </cell>
          <cell r="B188">
            <v>30</v>
          </cell>
          <cell r="C188" t="str">
            <v>Communications (Top Level Budget)</v>
          </cell>
        </row>
        <row r="189">
          <cell r="A189">
            <v>300</v>
          </cell>
          <cell r="B189">
            <v>30</v>
          </cell>
          <cell r="C189" t="str">
            <v>Courier</v>
          </cell>
        </row>
        <row r="190">
          <cell r="A190">
            <v>301</v>
          </cell>
          <cell r="B190">
            <v>30</v>
          </cell>
          <cell r="C190" t="str">
            <v>Postage</v>
          </cell>
        </row>
        <row r="191">
          <cell r="A191">
            <v>308</v>
          </cell>
          <cell r="B191">
            <v>30</v>
          </cell>
          <cell r="C191" t="str">
            <v>Telephone/Data Equipmt Installation</v>
          </cell>
        </row>
        <row r="192">
          <cell r="A192">
            <v>309</v>
          </cell>
          <cell r="B192">
            <v>30</v>
          </cell>
          <cell r="C192" t="str">
            <v>Phone/Data/Video Calls</v>
          </cell>
        </row>
        <row r="193">
          <cell r="A193">
            <v>303</v>
          </cell>
          <cell r="B193">
            <v>30</v>
          </cell>
          <cell r="C193" t="str">
            <v>Data Transmission</v>
          </cell>
        </row>
        <row r="194">
          <cell r="A194">
            <v>304</v>
          </cell>
          <cell r="B194">
            <v>30</v>
          </cell>
          <cell r="C194" t="str">
            <v>Telephone Calls/Fax Charges</v>
          </cell>
        </row>
        <row r="195">
          <cell r="A195">
            <v>307</v>
          </cell>
          <cell r="B195">
            <v>30</v>
          </cell>
          <cell r="C195" t="str">
            <v>Video Transmission</v>
          </cell>
        </row>
        <row r="196">
          <cell r="A196">
            <v>310</v>
          </cell>
          <cell r="B196">
            <v>30</v>
          </cell>
          <cell r="C196" t="str">
            <v>Phone/Data/Video Rental</v>
          </cell>
        </row>
        <row r="197">
          <cell r="A197">
            <v>302</v>
          </cell>
          <cell r="B197">
            <v>30</v>
          </cell>
          <cell r="C197" t="str">
            <v>Data Services &amp; Equipment Rental</v>
          </cell>
        </row>
        <row r="198">
          <cell r="A198">
            <v>305</v>
          </cell>
          <cell r="B198">
            <v>30</v>
          </cell>
          <cell r="C198" t="str">
            <v>Telephone Services &amp; Equip Rental</v>
          </cell>
        </row>
        <row r="199">
          <cell r="A199">
            <v>306</v>
          </cell>
          <cell r="B199">
            <v>30</v>
          </cell>
          <cell r="C199" t="str">
            <v>Video Services &amp; Equipment Rental</v>
          </cell>
        </row>
        <row r="200">
          <cell r="A200">
            <v>32</v>
          </cell>
          <cell r="B200">
            <v>32</v>
          </cell>
          <cell r="C200" t="str">
            <v>Energy  (Top Level Budget)</v>
          </cell>
        </row>
        <row r="201">
          <cell r="A201">
            <v>321</v>
          </cell>
          <cell r="B201">
            <v>32</v>
          </cell>
          <cell r="C201" t="str">
            <v>Electricity</v>
          </cell>
        </row>
        <row r="202">
          <cell r="A202">
            <v>322</v>
          </cell>
          <cell r="B202">
            <v>32</v>
          </cell>
          <cell r="C202" t="str">
            <v>Gas</v>
          </cell>
        </row>
        <row r="203">
          <cell r="A203">
            <v>324</v>
          </cell>
          <cell r="B203">
            <v>32</v>
          </cell>
          <cell r="C203" t="str">
            <v>Other Energy Sources</v>
          </cell>
        </row>
        <row r="204">
          <cell r="A204">
            <v>33</v>
          </cell>
          <cell r="B204">
            <v>33</v>
          </cell>
          <cell r="C204" t="str">
            <v>Fees for Services Rendered (Top Lvl Bud)</v>
          </cell>
        </row>
        <row r="205">
          <cell r="A205">
            <v>330</v>
          </cell>
          <cell r="B205">
            <v>33</v>
          </cell>
          <cell r="C205" t="str">
            <v>Advertising Services  (Top Level Budget)</v>
          </cell>
        </row>
        <row r="206">
          <cell r="A206">
            <v>331</v>
          </cell>
          <cell r="B206">
            <v>33</v>
          </cell>
          <cell r="C206" t="str">
            <v>Corporate Advertising</v>
          </cell>
        </row>
        <row r="207">
          <cell r="A207">
            <v>332</v>
          </cell>
          <cell r="B207">
            <v>33</v>
          </cell>
          <cell r="C207" t="str">
            <v>Course Advertising</v>
          </cell>
        </row>
        <row r="208">
          <cell r="A208">
            <v>333</v>
          </cell>
          <cell r="B208">
            <v>33</v>
          </cell>
          <cell r="C208" t="str">
            <v>Staff Appointment Advertising</v>
          </cell>
        </row>
        <row r="209">
          <cell r="A209">
            <v>334</v>
          </cell>
          <cell r="B209">
            <v>33</v>
          </cell>
          <cell r="C209" t="str">
            <v>Other Advertising</v>
          </cell>
        </row>
        <row r="210">
          <cell r="A210">
            <v>330</v>
          </cell>
          <cell r="B210">
            <v>33</v>
          </cell>
          <cell r="C210" t="str">
            <v xml:space="preserve">Advertising Services (TOTAL) </v>
          </cell>
        </row>
        <row r="211">
          <cell r="A211">
            <v>335</v>
          </cell>
          <cell r="B211">
            <v>33</v>
          </cell>
          <cell r="C211" t="str">
            <v>Conference/Meeting Services (Top Lvl Bud)</v>
          </cell>
        </row>
        <row r="212">
          <cell r="A212">
            <v>342</v>
          </cell>
          <cell r="B212">
            <v>33</v>
          </cell>
          <cell r="C212" t="str">
            <v>Conference/Seminar Fees</v>
          </cell>
        </row>
        <row r="213">
          <cell r="A213">
            <v>362</v>
          </cell>
          <cell r="B213">
            <v>33</v>
          </cell>
          <cell r="C213" t="str">
            <v>Catering - Meetings/Conferences</v>
          </cell>
        </row>
        <row r="214">
          <cell r="A214">
            <v>335</v>
          </cell>
          <cell r="B214">
            <v>33</v>
          </cell>
          <cell r="C214" t="str">
            <v>Conference/Meeting Services (TOTAL)</v>
          </cell>
        </row>
        <row r="215">
          <cell r="A215">
            <v>336</v>
          </cell>
          <cell r="B215">
            <v>33</v>
          </cell>
          <cell r="C215" t="str">
            <v>Financial Services  (Top Level Budget)</v>
          </cell>
        </row>
        <row r="216">
          <cell r="A216">
            <v>340</v>
          </cell>
          <cell r="B216">
            <v>33</v>
          </cell>
          <cell r="C216" t="str">
            <v>Auditors Fees</v>
          </cell>
        </row>
        <row r="217">
          <cell r="A217">
            <v>341</v>
          </cell>
          <cell r="B217">
            <v>33</v>
          </cell>
          <cell r="C217" t="str">
            <v>Bank Charges</v>
          </cell>
        </row>
        <row r="218">
          <cell r="A218">
            <v>351</v>
          </cell>
          <cell r="B218">
            <v>33</v>
          </cell>
          <cell r="C218" t="str">
            <v>Legal &amp; Debt Collection Fees</v>
          </cell>
        </row>
        <row r="219">
          <cell r="A219">
            <v>361</v>
          </cell>
          <cell r="B219">
            <v>33</v>
          </cell>
          <cell r="C219" t="str">
            <v>Infrastructure Levy</v>
          </cell>
        </row>
        <row r="220">
          <cell r="A220">
            <v>364</v>
          </cell>
          <cell r="B220">
            <v>33</v>
          </cell>
          <cell r="C220" t="str">
            <v>Late Payment Interest/Penalty</v>
          </cell>
        </row>
        <row r="221">
          <cell r="A221">
            <v>366</v>
          </cell>
          <cell r="B221">
            <v>33</v>
          </cell>
          <cell r="C221" t="str">
            <v>Loan Interest Expense</v>
          </cell>
        </row>
        <row r="222">
          <cell r="A222">
            <v>379</v>
          </cell>
          <cell r="B222">
            <v>33</v>
          </cell>
          <cell r="C222" t="str">
            <v>Impairment of available-for-sale financial asset</v>
          </cell>
        </row>
        <row r="223">
          <cell r="A223">
            <v>384</v>
          </cell>
          <cell r="B223">
            <v>33</v>
          </cell>
          <cell r="C223" t="str">
            <v>Impairment of Available-For-Sale Fixed Asset</v>
          </cell>
        </row>
        <row r="224">
          <cell r="A224">
            <v>385</v>
          </cell>
          <cell r="B224">
            <v>33</v>
          </cell>
          <cell r="C224" t="str">
            <v>Contract Tuition Services</v>
          </cell>
        </row>
        <row r="225">
          <cell r="A225">
            <v>336</v>
          </cell>
          <cell r="B225">
            <v>33</v>
          </cell>
          <cell r="C225" t="str">
            <v>Financial Services (TOTAL)</v>
          </cell>
        </row>
        <row r="226">
          <cell r="A226">
            <v>337</v>
          </cell>
          <cell r="B226">
            <v>33</v>
          </cell>
          <cell r="C226" t="str">
            <v>Information Services  (Top Level Budget)</v>
          </cell>
        </row>
        <row r="227">
          <cell r="A227">
            <v>349</v>
          </cell>
          <cell r="B227">
            <v>33</v>
          </cell>
          <cell r="C227" t="str">
            <v>Information Searches</v>
          </cell>
        </row>
        <row r="228">
          <cell r="A228">
            <v>350</v>
          </cell>
          <cell r="B228">
            <v>33</v>
          </cell>
          <cell r="C228" t="str">
            <v>Inter Library Loans</v>
          </cell>
        </row>
        <row r="229">
          <cell r="A229">
            <v>359</v>
          </cell>
          <cell r="B229">
            <v>33</v>
          </cell>
          <cell r="C229" t="str">
            <v>UNILINC Services</v>
          </cell>
        </row>
        <row r="230">
          <cell r="A230">
            <v>337</v>
          </cell>
          <cell r="B230">
            <v>33</v>
          </cell>
          <cell r="C230" t="str">
            <v>Information Services (TOTAL)</v>
          </cell>
        </row>
        <row r="231">
          <cell r="A231">
            <v>338</v>
          </cell>
          <cell r="B231">
            <v>33</v>
          </cell>
          <cell r="C231" t="str">
            <v>Membership/Levies/Regist'ion (Top Lvl Bud)</v>
          </cell>
        </row>
        <row r="232">
          <cell r="A232">
            <v>352</v>
          </cell>
          <cell r="B232">
            <v>33</v>
          </cell>
          <cell r="C232" t="str">
            <v>Levies</v>
          </cell>
        </row>
        <row r="233">
          <cell r="A233">
            <v>354</v>
          </cell>
          <cell r="B233">
            <v>33</v>
          </cell>
          <cell r="C233" t="str">
            <v>Membership Fees</v>
          </cell>
        </row>
        <row r="234">
          <cell r="A234">
            <v>356</v>
          </cell>
          <cell r="B234">
            <v>33</v>
          </cell>
          <cell r="C234" t="str">
            <v>Registration/Trnsfer/Lic. Fees</v>
          </cell>
        </row>
        <row r="235">
          <cell r="A235">
            <v>338</v>
          </cell>
          <cell r="B235">
            <v>33</v>
          </cell>
          <cell r="C235" t="str">
            <v>Membership/Levies/Regist'ion (TOTAL)</v>
          </cell>
        </row>
        <row r="236">
          <cell r="A236">
            <v>339</v>
          </cell>
          <cell r="B236">
            <v>33</v>
          </cell>
          <cell r="C236" t="str">
            <v>Staff Services  (Top Level Budget)</v>
          </cell>
        </row>
        <row r="237">
          <cell r="A237">
            <v>353</v>
          </cell>
          <cell r="B237">
            <v>33</v>
          </cell>
          <cell r="C237" t="str">
            <v>Medical Examinations</v>
          </cell>
        </row>
        <row r="238">
          <cell r="A238">
            <v>358</v>
          </cell>
          <cell r="B238">
            <v>33</v>
          </cell>
          <cell r="C238" t="str">
            <v>Staff Removal Expenses</v>
          </cell>
        </row>
        <row r="239">
          <cell r="A239">
            <v>367</v>
          </cell>
          <cell r="B239">
            <v>33</v>
          </cell>
          <cell r="C239" t="str">
            <v>RTW Service - Academic</v>
          </cell>
        </row>
        <row r="240">
          <cell r="A240">
            <v>368</v>
          </cell>
          <cell r="B240">
            <v>33</v>
          </cell>
          <cell r="C240" t="str">
            <v>RTW Service - General</v>
          </cell>
        </row>
        <row r="241">
          <cell r="A241">
            <v>339</v>
          </cell>
          <cell r="B241">
            <v>33</v>
          </cell>
          <cell r="C241" t="str">
            <v>Staff Services (TOTAL)</v>
          </cell>
        </row>
        <row r="242">
          <cell r="A242">
            <v>363</v>
          </cell>
          <cell r="B242">
            <v>33</v>
          </cell>
          <cell r="C242" t="str">
            <v>Other Services  (Top Level Budget)</v>
          </cell>
        </row>
        <row r="243">
          <cell r="A243">
            <v>343</v>
          </cell>
          <cell r="B243">
            <v>33</v>
          </cell>
          <cell r="C243" t="str">
            <v>Consultants</v>
          </cell>
        </row>
        <row r="244">
          <cell r="A244">
            <v>344</v>
          </cell>
          <cell r="B244">
            <v>33</v>
          </cell>
          <cell r="C244" t="str">
            <v>Contracts</v>
          </cell>
        </row>
        <row r="245">
          <cell r="A245">
            <v>345</v>
          </cell>
          <cell r="B245">
            <v>33</v>
          </cell>
          <cell r="C245" t="str">
            <v>Copyright/Royalities</v>
          </cell>
        </row>
        <row r="246">
          <cell r="A246">
            <v>265</v>
          </cell>
          <cell r="B246">
            <v>33</v>
          </cell>
          <cell r="C246" t="str">
            <v>Design Consultants</v>
          </cell>
        </row>
        <row r="247">
          <cell r="A247">
            <v>347</v>
          </cell>
          <cell r="B247">
            <v>33</v>
          </cell>
          <cell r="C247" t="str">
            <v>Graphic Design</v>
          </cell>
        </row>
        <row r="248">
          <cell r="A248">
            <v>348</v>
          </cell>
          <cell r="B248">
            <v>33</v>
          </cell>
          <cell r="C248" t="str">
            <v>Hire/Lease Expenses</v>
          </cell>
        </row>
        <row r="249">
          <cell r="A249">
            <v>355</v>
          </cell>
          <cell r="B249">
            <v>33</v>
          </cell>
          <cell r="C249" t="str">
            <v>Photography</v>
          </cell>
        </row>
        <row r="250">
          <cell r="A250">
            <v>357</v>
          </cell>
          <cell r="B250">
            <v>33</v>
          </cell>
          <cell r="C250" t="str">
            <v>Selling Expenses</v>
          </cell>
        </row>
        <row r="251">
          <cell r="A251">
            <v>360</v>
          </cell>
          <cell r="B251">
            <v>33</v>
          </cell>
          <cell r="C251" t="str">
            <v>Other Services Rendered</v>
          </cell>
        </row>
        <row r="252">
          <cell r="A252">
            <v>363</v>
          </cell>
          <cell r="B252">
            <v>33</v>
          </cell>
          <cell r="C252" t="str">
            <v>Other Services (TOTAL)</v>
          </cell>
        </row>
        <row r="253">
          <cell r="A253">
            <v>38</v>
          </cell>
          <cell r="B253">
            <v>38</v>
          </cell>
          <cell r="C253" t="str">
            <v>Insurance  (Top Level Budget)</v>
          </cell>
        </row>
        <row r="254">
          <cell r="A254">
            <v>380</v>
          </cell>
          <cell r="B254">
            <v>38</v>
          </cell>
          <cell r="C254" t="str">
            <v>Insurance Claims Excess</v>
          </cell>
        </row>
        <row r="255">
          <cell r="A255">
            <v>381</v>
          </cell>
          <cell r="B255">
            <v>38</v>
          </cell>
          <cell r="C255" t="str">
            <v>Insurance Claims W/C Excess</v>
          </cell>
        </row>
        <row r="256">
          <cell r="A256">
            <v>382</v>
          </cell>
          <cell r="B256">
            <v>38</v>
          </cell>
          <cell r="C256" t="str">
            <v>Insurance Premiums (except M/V)</v>
          </cell>
        </row>
        <row r="257">
          <cell r="A257">
            <v>383</v>
          </cell>
          <cell r="B257">
            <v>38</v>
          </cell>
          <cell r="C257" t="str">
            <v>Insurance Costs - Below Excess</v>
          </cell>
        </row>
        <row r="258">
          <cell r="A258">
            <v>39</v>
          </cell>
          <cell r="B258">
            <v>39</v>
          </cell>
          <cell r="C258" t="str">
            <v>Motor Vehicles  (Top Level Budget)</v>
          </cell>
        </row>
        <row r="259">
          <cell r="A259">
            <v>390</v>
          </cell>
          <cell r="B259">
            <v>39</v>
          </cell>
          <cell r="C259" t="str">
            <v>Accident Repairs</v>
          </cell>
        </row>
        <row r="260">
          <cell r="A260">
            <v>391</v>
          </cell>
          <cell r="B260">
            <v>39</v>
          </cell>
          <cell r="C260" t="str">
            <v>Petrol, Oil &amp; Lubricants</v>
          </cell>
        </row>
        <row r="261">
          <cell r="A261">
            <v>392</v>
          </cell>
          <cell r="B261">
            <v>39</v>
          </cell>
          <cell r="C261" t="str">
            <v>Service Vehicle Usage</v>
          </cell>
        </row>
        <row r="262">
          <cell r="A262">
            <v>393</v>
          </cell>
          <cell r="B262">
            <v>39</v>
          </cell>
          <cell r="C262" t="str">
            <v>Vehicle Insurance</v>
          </cell>
        </row>
        <row r="263">
          <cell r="A263">
            <v>394</v>
          </cell>
          <cell r="B263">
            <v>39</v>
          </cell>
          <cell r="C263" t="str">
            <v>Vehicle Maintenance</v>
          </cell>
        </row>
        <row r="264">
          <cell r="A264">
            <v>395</v>
          </cell>
          <cell r="B264">
            <v>39</v>
          </cell>
          <cell r="C264" t="str">
            <v>Vehicle Registrations</v>
          </cell>
        </row>
        <row r="265">
          <cell r="A265">
            <v>40</v>
          </cell>
          <cell r="B265">
            <v>40</v>
          </cell>
          <cell r="C265" t="str">
            <v>Stores &amp; Provisions  (Top Level Budget)</v>
          </cell>
        </row>
        <row r="266">
          <cell r="A266">
            <v>442</v>
          </cell>
          <cell r="B266">
            <v>40</v>
          </cell>
          <cell r="C266" t="str">
            <v>Chemicals</v>
          </cell>
        </row>
        <row r="267">
          <cell r="A267">
            <v>411</v>
          </cell>
          <cell r="B267">
            <v>40</v>
          </cell>
          <cell r="C267" t="str">
            <v>Cleaning Materials</v>
          </cell>
        </row>
        <row r="268">
          <cell r="A268">
            <v>412</v>
          </cell>
          <cell r="B268">
            <v>40</v>
          </cell>
          <cell r="C268" t="str">
            <v>Crockery, Cutlery &amp; Linen</v>
          </cell>
        </row>
        <row r="269">
          <cell r="A269">
            <v>420</v>
          </cell>
          <cell r="B269">
            <v>40</v>
          </cell>
          <cell r="C269" t="str">
            <v>Other Consumables</v>
          </cell>
        </row>
        <row r="270">
          <cell r="A270">
            <v>421</v>
          </cell>
          <cell r="B270">
            <v>40</v>
          </cell>
          <cell r="C270" t="str">
            <v>Packaging Materials</v>
          </cell>
        </row>
        <row r="271">
          <cell r="A271">
            <v>448</v>
          </cell>
          <cell r="B271">
            <v>40</v>
          </cell>
          <cell r="C271" t="str">
            <v>Pharmaceuticals/Therapeutics</v>
          </cell>
        </row>
        <row r="272">
          <cell r="A272">
            <v>422</v>
          </cell>
          <cell r="B272">
            <v>40</v>
          </cell>
          <cell r="C272" t="str">
            <v>Photocopying</v>
          </cell>
        </row>
        <row r="273">
          <cell r="A273">
            <v>424</v>
          </cell>
          <cell r="B273">
            <v>40</v>
          </cell>
          <cell r="C273" t="str">
            <v>Protective Clothing/Uniforms</v>
          </cell>
        </row>
        <row r="274">
          <cell r="A274">
            <v>444</v>
          </cell>
          <cell r="B274">
            <v>40</v>
          </cell>
          <cell r="C274" t="str">
            <v>Reference Publications/Resources</v>
          </cell>
        </row>
        <row r="275">
          <cell r="A275">
            <v>435</v>
          </cell>
          <cell r="B275">
            <v>40</v>
          </cell>
          <cell r="C275" t="str">
            <v>Sataionery &amp; Office Supplies</v>
          </cell>
        </row>
        <row r="276">
          <cell r="A276">
            <v>401</v>
          </cell>
          <cell r="B276">
            <v>40</v>
          </cell>
          <cell r="C276" t="str">
            <v>Equipment Purchases &amp; Maintenance</v>
          </cell>
        </row>
        <row r="277">
          <cell r="A277">
            <v>410</v>
          </cell>
          <cell r="B277">
            <v>40</v>
          </cell>
          <cell r="C277" t="str">
            <v>Disposed Asset Expense</v>
          </cell>
        </row>
        <row r="278">
          <cell r="A278">
            <v>428</v>
          </cell>
          <cell r="B278">
            <v>40</v>
          </cell>
          <cell r="C278" t="str">
            <v>Furniture &amp; Fittings (&lt;$10,000)</v>
          </cell>
        </row>
        <row r="279">
          <cell r="A279">
            <v>419</v>
          </cell>
          <cell r="B279">
            <v>40</v>
          </cell>
          <cell r="C279" t="str">
            <v>Maintenance of Assets &amp; Minor Equip</v>
          </cell>
        </row>
        <row r="280">
          <cell r="A280">
            <v>430</v>
          </cell>
          <cell r="B280">
            <v>40</v>
          </cell>
          <cell r="C280" t="str">
            <v>Minor Computer Software (&lt; $10,000)</v>
          </cell>
        </row>
        <row r="281">
          <cell r="A281">
            <v>431</v>
          </cell>
          <cell r="B281">
            <v>40</v>
          </cell>
          <cell r="C281" t="str">
            <v>Minor Equipment (&lt; $10,000)</v>
          </cell>
        </row>
        <row r="282">
          <cell r="A282">
            <v>405</v>
          </cell>
          <cell r="B282">
            <v>40</v>
          </cell>
          <cell r="C282" t="str">
            <v>Portable &amp; Attractive Items &lt;$10,000</v>
          </cell>
        </row>
        <row r="283">
          <cell r="A283">
            <v>445</v>
          </cell>
          <cell r="B283">
            <v>40</v>
          </cell>
          <cell r="C283" t="str">
            <v>Service Contracts for Equipment</v>
          </cell>
        </row>
        <row r="284">
          <cell r="A284">
            <v>413</v>
          </cell>
          <cell r="B284">
            <v>40</v>
          </cell>
          <cell r="C284" t="str">
            <v>Fertilizer</v>
          </cell>
        </row>
        <row r="285">
          <cell r="A285">
            <v>403</v>
          </cell>
          <cell r="B285">
            <v>40</v>
          </cell>
          <cell r="C285" t="str">
            <v>Hospitality</v>
          </cell>
        </row>
        <row r="286">
          <cell r="A286">
            <v>415</v>
          </cell>
          <cell r="B286">
            <v>40</v>
          </cell>
          <cell r="C286" t="str">
            <v>Gifts</v>
          </cell>
        </row>
        <row r="287">
          <cell r="A287">
            <v>441</v>
          </cell>
          <cell r="B287">
            <v>40</v>
          </cell>
          <cell r="C287" t="str">
            <v>Meals/Entertainment</v>
          </cell>
        </row>
        <row r="288">
          <cell r="A288">
            <v>404</v>
          </cell>
          <cell r="B288">
            <v>40</v>
          </cell>
          <cell r="C288" t="str">
            <v>Printing &amp; Binding</v>
          </cell>
        </row>
        <row r="289">
          <cell r="A289">
            <v>423</v>
          </cell>
          <cell r="B289">
            <v>40</v>
          </cell>
          <cell r="C289" t="str">
            <v>Printing &amp; Binding On Campus</v>
          </cell>
        </row>
        <row r="290">
          <cell r="A290">
            <v>447</v>
          </cell>
          <cell r="B290">
            <v>40</v>
          </cell>
          <cell r="C290" t="str">
            <v>Printing &amp; Binding Off Campus</v>
          </cell>
        </row>
        <row r="291">
          <cell r="A291">
            <v>414</v>
          </cell>
          <cell r="B291">
            <v>40</v>
          </cell>
          <cell r="C291" t="str">
            <v>Freight Expense on Purchases</v>
          </cell>
        </row>
        <row r="292">
          <cell r="A292">
            <v>416</v>
          </cell>
          <cell r="B292">
            <v>40</v>
          </cell>
          <cell r="C292" t="str">
            <v>Laundry</v>
          </cell>
        </row>
        <row r="293">
          <cell r="A293">
            <v>436</v>
          </cell>
          <cell r="B293">
            <v>40</v>
          </cell>
          <cell r="C293" t="str">
            <v>Radioactive Material</v>
          </cell>
        </row>
        <row r="294">
          <cell r="A294">
            <v>433</v>
          </cell>
          <cell r="B294">
            <v>40</v>
          </cell>
          <cell r="C294" t="str">
            <v>Trading Stock</v>
          </cell>
        </row>
        <row r="295">
          <cell r="A295">
            <v>44</v>
          </cell>
          <cell r="B295">
            <v>44</v>
          </cell>
          <cell r="C295" t="str">
            <v>Asset Purchases (&gt; $10,000) (Top Lvl Bud)</v>
          </cell>
        </row>
        <row r="296">
          <cell r="A296">
            <v>418</v>
          </cell>
          <cell r="B296">
            <v>44</v>
          </cell>
          <cell r="C296" t="str">
            <v>Library Collection (Fin Use Only)</v>
          </cell>
        </row>
        <row r="297">
          <cell r="A297">
            <v>426</v>
          </cell>
          <cell r="B297">
            <v>44</v>
          </cell>
          <cell r="C297" t="str">
            <v>Computer Software (&gt; $10,000)</v>
          </cell>
        </row>
        <row r="298">
          <cell r="A298">
            <v>427</v>
          </cell>
          <cell r="B298">
            <v>44</v>
          </cell>
          <cell r="C298" t="str">
            <v>Plant &amp; Equipment (&gt; $10,000)</v>
          </cell>
        </row>
        <row r="299">
          <cell r="A299">
            <v>434</v>
          </cell>
          <cell r="B299">
            <v>44</v>
          </cell>
          <cell r="C299" t="str">
            <v>Works of Art</v>
          </cell>
        </row>
        <row r="300">
          <cell r="A300">
            <v>437</v>
          </cell>
          <cell r="B300">
            <v>44</v>
          </cell>
          <cell r="C300" t="str">
            <v>Motor Vehicles</v>
          </cell>
        </row>
        <row r="301">
          <cell r="A301">
            <v>438</v>
          </cell>
          <cell r="B301">
            <v>44</v>
          </cell>
          <cell r="C301" t="str">
            <v>Landscape Development</v>
          </cell>
        </row>
        <row r="302">
          <cell r="A302">
            <v>439</v>
          </cell>
          <cell r="B302">
            <v>44</v>
          </cell>
          <cell r="C302" t="str">
            <v>Buildings</v>
          </cell>
        </row>
        <row r="303">
          <cell r="A303">
            <v>449</v>
          </cell>
          <cell r="B303">
            <v>44</v>
          </cell>
          <cell r="C303" t="str">
            <v>Infrastructure</v>
          </cell>
        </row>
        <row r="304">
          <cell r="A304">
            <v>45</v>
          </cell>
          <cell r="B304">
            <v>45</v>
          </cell>
          <cell r="C304" t="str">
            <v>Travel  (Top Level Budget)</v>
          </cell>
        </row>
        <row r="305">
          <cell r="A305">
            <v>450</v>
          </cell>
          <cell r="B305">
            <v>45</v>
          </cell>
          <cell r="C305" t="str">
            <v>General Travel &amp; Accommodation</v>
          </cell>
        </row>
        <row r="306">
          <cell r="A306">
            <v>451</v>
          </cell>
          <cell r="B306">
            <v>45</v>
          </cell>
          <cell r="C306" t="str">
            <v>Overseas Travel</v>
          </cell>
        </row>
        <row r="307">
          <cell r="A307">
            <v>452</v>
          </cell>
          <cell r="B307">
            <v>45</v>
          </cell>
          <cell r="C307" t="str">
            <v>Travel Grant for Special Studies</v>
          </cell>
        </row>
        <row r="308">
          <cell r="A308">
            <v>453</v>
          </cell>
          <cell r="B308">
            <v>45</v>
          </cell>
          <cell r="C308" t="str">
            <v>Vehicle Hire</v>
          </cell>
        </row>
        <row r="309">
          <cell r="A309">
            <v>454</v>
          </cell>
          <cell r="B309">
            <v>45</v>
          </cell>
          <cell r="C309" t="str">
            <v>Private Vehicle Use</v>
          </cell>
        </row>
        <row r="310">
          <cell r="A310">
            <v>455</v>
          </cell>
          <cell r="B310">
            <v>45</v>
          </cell>
          <cell r="C310" t="str">
            <v>University Vehicle</v>
          </cell>
        </row>
        <row r="311">
          <cell r="A311">
            <v>457</v>
          </cell>
          <cell r="B311">
            <v>45</v>
          </cell>
          <cell r="C311" t="str">
            <v>Staff Recruitment Travel</v>
          </cell>
        </row>
        <row r="312">
          <cell r="A312">
            <v>458</v>
          </cell>
          <cell r="B312">
            <v>45</v>
          </cell>
          <cell r="C312" t="str">
            <v>Overseas Travel Allowance</v>
          </cell>
        </row>
        <row r="313">
          <cell r="A313">
            <v>459</v>
          </cell>
          <cell r="B313">
            <v>45</v>
          </cell>
          <cell r="C313" t="str">
            <v>Meal Allowance (Australia)</v>
          </cell>
        </row>
        <row r="314">
          <cell r="A314">
            <v>460</v>
          </cell>
          <cell r="B314">
            <v>45</v>
          </cell>
          <cell r="C314" t="str">
            <v>Dependant Care Allowance</v>
          </cell>
        </row>
        <row r="315">
          <cell r="A315">
            <v>47</v>
          </cell>
          <cell r="B315">
            <v>47</v>
          </cell>
          <cell r="C315" t="str">
            <v>Miscellaneous  (Top Level Budget)</v>
          </cell>
        </row>
        <row r="316">
          <cell r="A316">
            <v>473</v>
          </cell>
          <cell r="B316">
            <v>47</v>
          </cell>
          <cell r="C316" t="str">
            <v>Scholarships/Prizes</v>
          </cell>
        </row>
        <row r="317">
          <cell r="A317">
            <v>475</v>
          </cell>
          <cell r="B317">
            <v>47</v>
          </cell>
          <cell r="C317" t="str">
            <v>Bad Debts Written Off</v>
          </cell>
        </row>
        <row r="318">
          <cell r="A318">
            <v>481</v>
          </cell>
          <cell r="B318">
            <v>47</v>
          </cell>
          <cell r="C318" t="str">
            <v>Sponsorship/Donation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ST CY"/>
      <sheetName val="FAST PY"/>
      <sheetName val="Original Budget"/>
      <sheetName val="Sales Reconciliation"/>
      <sheetName val="Sheet1"/>
      <sheetName val="Stock"/>
    </sheetNames>
    <sheetDataSet>
      <sheetData sheetId="0"/>
      <sheetData sheetId="1"/>
      <sheetData sheetId="2">
        <row r="2">
          <cell r="O2">
            <v>2014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finance.csu.edu.au/services/travel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83"/>
  <sheetViews>
    <sheetView showGridLines="0" showRowColHeaders="0" tabSelected="1" zoomScale="98" zoomScaleNormal="98" zoomScaleSheetLayoutView="145" workbookViewId="0">
      <pane ySplit="3" topLeftCell="A4" activePane="bottomLeft" state="frozen"/>
      <selection pane="bottomLeft" activeCell="G1" sqref="G1"/>
    </sheetView>
  </sheetViews>
  <sheetFormatPr defaultRowHeight="15" x14ac:dyDescent="0.25"/>
  <cols>
    <col min="1" max="1" width="1.42578125" customWidth="1"/>
    <col min="2" max="2" width="1.5703125" customWidth="1"/>
    <col min="3" max="3" width="102.7109375" customWidth="1"/>
    <col min="5" max="5" width="147.7109375" customWidth="1"/>
  </cols>
  <sheetData>
    <row r="1" spans="1:48" ht="6.75" customHeight="1" thickBot="1" x14ac:dyDescent="0.3"/>
    <row r="2" spans="1:48" ht="50.25" customHeight="1" thickBot="1" x14ac:dyDescent="0.3">
      <c r="B2" s="144"/>
      <c r="C2" s="145" t="s">
        <v>333</v>
      </c>
    </row>
    <row r="3" spans="1:48" s="132" customFormat="1" ht="27.75" customHeight="1" thickBot="1" x14ac:dyDescent="0.3">
      <c r="B3" s="147"/>
      <c r="C3" s="148" t="s">
        <v>334</v>
      </c>
    </row>
    <row r="4" spans="1:48" ht="12" customHeight="1" x14ac:dyDescent="0.25">
      <c r="A4" s="4"/>
      <c r="B4" s="136"/>
      <c r="C4" s="146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s="35" customFormat="1" ht="18.75" customHeight="1" x14ac:dyDescent="0.25">
      <c r="A5" s="23"/>
      <c r="B5" s="327"/>
      <c r="C5" s="328" t="s">
        <v>331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</row>
    <row r="6" spans="1:48" ht="20.25" customHeight="1" x14ac:dyDescent="0.25">
      <c r="A6" s="4"/>
      <c r="B6" s="133"/>
      <c r="C6" s="134" t="s">
        <v>332</v>
      </c>
      <c r="D6" s="4"/>
      <c r="E6" s="8"/>
      <c r="F6" s="15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13.5" customHeight="1" x14ac:dyDescent="0.25">
      <c r="A7" s="4"/>
      <c r="B7" s="27"/>
      <c r="C7" s="135"/>
      <c r="D7" s="4"/>
      <c r="E7" s="4"/>
      <c r="F7" s="15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</row>
    <row r="8" spans="1:48" x14ac:dyDescent="0.25">
      <c r="A8" s="4"/>
      <c r="B8" s="27"/>
      <c r="C8" s="135"/>
      <c r="D8" s="4"/>
      <c r="E8" s="4"/>
      <c r="F8" s="15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</row>
    <row r="9" spans="1:48" x14ac:dyDescent="0.25">
      <c r="A9" s="4"/>
      <c r="B9" s="27"/>
      <c r="C9" s="135"/>
      <c r="D9" s="4"/>
      <c r="E9" s="4"/>
      <c r="F9" s="15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</row>
    <row r="10" spans="1:48" x14ac:dyDescent="0.25">
      <c r="A10" s="4"/>
      <c r="B10" s="27"/>
      <c r="C10" s="135"/>
      <c r="D10" s="4"/>
      <c r="E10" s="4"/>
      <c r="F10" s="15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</row>
    <row r="11" spans="1:48" ht="12.75" customHeight="1" x14ac:dyDescent="0.25">
      <c r="A11" s="4"/>
      <c r="B11" s="136"/>
      <c r="C11" s="137"/>
      <c r="D11" s="4"/>
      <c r="E11" s="4"/>
      <c r="F11" s="15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</row>
    <row r="12" spans="1:48" s="35" customFormat="1" ht="17.25" customHeight="1" x14ac:dyDescent="0.25">
      <c r="A12" s="23"/>
      <c r="B12" s="329"/>
      <c r="C12" s="328" t="s">
        <v>329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48" ht="47.25" customHeight="1" x14ac:dyDescent="0.25">
      <c r="A13" s="4"/>
      <c r="B13" s="133"/>
      <c r="C13" s="134" t="s">
        <v>330</v>
      </c>
      <c r="D13" s="4"/>
      <c r="E13" s="4"/>
      <c r="F13" s="15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</row>
    <row r="14" spans="1:48" ht="17.100000000000001" customHeight="1" x14ac:dyDescent="0.25">
      <c r="A14" s="4"/>
      <c r="B14" s="27"/>
      <c r="C14" s="135"/>
      <c r="D14" s="4"/>
      <c r="E14" s="4"/>
      <c r="F14" s="15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</row>
    <row r="15" spans="1:48" ht="15.95" customHeight="1" x14ac:dyDescent="0.25">
      <c r="A15" s="4"/>
      <c r="B15" s="27"/>
      <c r="C15" s="135"/>
      <c r="D15" s="4"/>
      <c r="E15" s="4"/>
      <c r="F15" s="15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</row>
    <row r="16" spans="1:48" ht="15.95" customHeight="1" x14ac:dyDescent="0.25">
      <c r="A16" s="4"/>
      <c r="B16" s="27"/>
      <c r="C16" s="135"/>
      <c r="D16" s="4"/>
      <c r="E16" s="4"/>
      <c r="F16" s="15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</row>
    <row r="17" spans="1:48" ht="9.75" customHeight="1" x14ac:dyDescent="0.25">
      <c r="A17" s="4"/>
      <c r="B17" s="136"/>
      <c r="C17" s="138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</row>
    <row r="18" spans="1:48" s="35" customFormat="1" ht="17.25" customHeight="1" x14ac:dyDescent="0.25">
      <c r="A18" s="23"/>
      <c r="B18" s="329"/>
      <c r="C18" s="328" t="s">
        <v>335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</row>
    <row r="19" spans="1:48" ht="30" x14ac:dyDescent="0.25">
      <c r="A19" s="4"/>
      <c r="B19" s="152"/>
      <c r="C19" s="151" t="s">
        <v>337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</row>
    <row r="20" spans="1:48" ht="45" customHeight="1" x14ac:dyDescent="0.25">
      <c r="A20" s="4"/>
      <c r="B20" s="27"/>
      <c r="C20" s="135" t="s">
        <v>369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</row>
    <row r="21" spans="1:48" ht="30" customHeight="1" x14ac:dyDescent="0.25">
      <c r="A21" s="4"/>
      <c r="B21" s="27"/>
      <c r="C21" s="150" t="s">
        <v>372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</row>
    <row r="22" spans="1:48" ht="32.25" customHeight="1" x14ac:dyDescent="0.25">
      <c r="A22" s="4"/>
      <c r="B22" s="27"/>
      <c r="C22" s="135" t="s">
        <v>373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</row>
    <row r="23" spans="1:48" ht="15" customHeight="1" x14ac:dyDescent="0.25">
      <c r="A23" s="4"/>
      <c r="B23" s="27"/>
      <c r="C23" s="135" t="s">
        <v>368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</row>
    <row r="24" spans="1:48" ht="32.25" customHeight="1" x14ac:dyDescent="0.25">
      <c r="A24" s="4"/>
      <c r="B24" s="27"/>
      <c r="C24" s="135" t="s">
        <v>374</v>
      </c>
      <c r="D24" s="4"/>
      <c r="E24" s="402" t="s">
        <v>353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</row>
    <row r="25" spans="1:48" x14ac:dyDescent="0.25">
      <c r="A25" s="4"/>
      <c r="B25" s="136"/>
      <c r="C25" s="138"/>
      <c r="D25" s="4"/>
      <c r="E25" s="40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</row>
    <row r="26" spans="1:48" x14ac:dyDescent="0.25">
      <c r="A26" s="4"/>
      <c r="B26" s="330"/>
      <c r="C26" s="332" t="s">
        <v>16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</row>
    <row r="27" spans="1:48" x14ac:dyDescent="0.25">
      <c r="A27" s="4"/>
      <c r="B27" s="27"/>
      <c r="C27" s="139" t="s">
        <v>15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</row>
    <row r="28" spans="1:48" x14ac:dyDescent="0.25">
      <c r="A28" s="4"/>
      <c r="B28" s="27"/>
      <c r="C28" s="139" t="s">
        <v>14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</row>
    <row r="29" spans="1:48" x14ac:dyDescent="0.25">
      <c r="A29" s="4"/>
      <c r="B29" s="27"/>
      <c r="C29" s="139" t="s">
        <v>13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</row>
    <row r="30" spans="1:48" x14ac:dyDescent="0.25">
      <c r="A30" s="4"/>
      <c r="B30" s="27"/>
      <c r="C30" s="139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</row>
    <row r="31" spans="1:48" x14ac:dyDescent="0.25">
      <c r="A31" s="4"/>
      <c r="B31" s="27"/>
      <c r="C31" s="139" t="s">
        <v>365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</row>
    <row r="32" spans="1:48" x14ac:dyDescent="0.25">
      <c r="A32" s="4"/>
      <c r="B32" s="27"/>
      <c r="C32" s="139" t="s">
        <v>12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</row>
    <row r="33" spans="1:48" x14ac:dyDescent="0.25">
      <c r="A33" s="4"/>
      <c r="B33" s="27"/>
      <c r="C33" s="139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</row>
    <row r="34" spans="1:48" x14ac:dyDescent="0.25">
      <c r="A34" s="4"/>
      <c r="B34" s="331"/>
      <c r="C34" s="332" t="s">
        <v>11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</row>
    <row r="35" spans="1:48" ht="30" customHeight="1" x14ac:dyDescent="0.25">
      <c r="A35" s="4"/>
      <c r="B35" s="27"/>
      <c r="C35" s="135" t="s">
        <v>370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</row>
    <row r="36" spans="1:48" ht="30" customHeight="1" x14ac:dyDescent="0.25">
      <c r="A36" s="4"/>
      <c r="B36" s="27"/>
      <c r="C36" s="135" t="s">
        <v>371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</row>
    <row r="37" spans="1:48" ht="30" customHeight="1" x14ac:dyDescent="0.25">
      <c r="A37" s="4"/>
      <c r="B37" s="27"/>
      <c r="C37" s="199" t="s">
        <v>356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</row>
    <row r="38" spans="1:48" x14ac:dyDescent="0.25">
      <c r="A38" s="4"/>
      <c r="B38" s="136"/>
      <c r="C38" s="138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</row>
    <row r="39" spans="1:48" x14ac:dyDescent="0.25">
      <c r="A39" s="4"/>
      <c r="B39" s="331"/>
      <c r="C39" s="332" t="s">
        <v>10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</row>
    <row r="40" spans="1:48" ht="60" customHeight="1" x14ac:dyDescent="0.25">
      <c r="A40" s="4"/>
      <c r="B40" s="27"/>
      <c r="C40" s="135" t="s">
        <v>366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</row>
    <row r="41" spans="1:48" ht="30" customHeight="1" x14ac:dyDescent="0.25">
      <c r="A41" s="4"/>
      <c r="B41" s="27"/>
      <c r="C41" s="135" t="s">
        <v>9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</row>
    <row r="42" spans="1:48" ht="15" customHeight="1" x14ac:dyDescent="0.25">
      <c r="A42" s="4"/>
      <c r="B42" s="27"/>
      <c r="C42" s="135" t="s">
        <v>8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</row>
    <row r="43" spans="1:48" ht="15" customHeight="1" x14ac:dyDescent="0.25">
      <c r="A43" s="4"/>
      <c r="B43" s="27"/>
      <c r="C43" s="135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</row>
    <row r="44" spans="1:48" s="14" customFormat="1" ht="15" customHeight="1" x14ac:dyDescent="0.25">
      <c r="A44" s="13"/>
      <c r="B44" s="140"/>
      <c r="C44" s="135" t="s">
        <v>348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</row>
    <row r="45" spans="1:48" s="14" customFormat="1" ht="15" customHeight="1" x14ac:dyDescent="0.25">
      <c r="A45" s="13"/>
      <c r="B45" s="140"/>
      <c r="C45" s="135" t="s">
        <v>7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</row>
    <row r="46" spans="1:48" s="14" customFormat="1" ht="15" customHeight="1" x14ac:dyDescent="0.25">
      <c r="A46" s="13"/>
      <c r="B46" s="140"/>
      <c r="C46" s="199" t="s">
        <v>355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</row>
    <row r="47" spans="1:48" s="14" customFormat="1" ht="30" customHeight="1" x14ac:dyDescent="0.25">
      <c r="A47" s="13"/>
      <c r="B47" s="140"/>
      <c r="C47" s="135" t="s">
        <v>367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</row>
    <row r="48" spans="1:48" s="14" customFormat="1" ht="45" customHeight="1" x14ac:dyDescent="0.25">
      <c r="A48" s="13"/>
      <c r="B48" s="140"/>
      <c r="C48" s="135" t="s">
        <v>375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</row>
    <row r="49" spans="1:48" s="14" customFormat="1" ht="45" customHeight="1" x14ac:dyDescent="0.25">
      <c r="A49" s="13"/>
      <c r="B49" s="140"/>
      <c r="C49" s="135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8" x14ac:dyDescent="0.25">
      <c r="A50" s="4"/>
      <c r="B50" s="136"/>
      <c r="C50" s="138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</row>
    <row r="51" spans="1:48" x14ac:dyDescent="0.25">
      <c r="A51" s="4"/>
      <c r="B51" s="331"/>
      <c r="C51" s="332" t="s">
        <v>6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</row>
    <row r="52" spans="1:48" ht="30" x14ac:dyDescent="0.25">
      <c r="A52" s="4"/>
      <c r="B52" s="27"/>
      <c r="C52" s="135" t="s">
        <v>5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</row>
    <row r="53" spans="1:48" x14ac:dyDescent="0.25">
      <c r="A53" s="4"/>
      <c r="B53" s="27"/>
      <c r="C53" s="139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</row>
    <row r="54" spans="1:48" x14ac:dyDescent="0.25">
      <c r="A54" s="4"/>
      <c r="B54" s="27"/>
      <c r="C54" s="139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</row>
    <row r="55" spans="1:48" x14ac:dyDescent="0.25">
      <c r="A55" s="4"/>
      <c r="B55" s="331"/>
      <c r="C55" s="332" t="s">
        <v>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</row>
    <row r="56" spans="1:48" ht="30" customHeight="1" x14ac:dyDescent="0.25">
      <c r="A56" s="4"/>
      <c r="B56" s="133"/>
      <c r="C56" s="134" t="s">
        <v>339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</row>
    <row r="57" spans="1:48" ht="30" customHeight="1" x14ac:dyDescent="0.25">
      <c r="A57" s="4"/>
      <c r="B57" s="27"/>
      <c r="C57" s="135" t="s">
        <v>377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</row>
    <row r="58" spans="1:48" x14ac:dyDescent="0.25">
      <c r="A58" s="4"/>
      <c r="B58" s="27"/>
      <c r="C58" s="139" t="s">
        <v>3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</row>
    <row r="59" spans="1:48" ht="15" customHeight="1" x14ac:dyDescent="0.25">
      <c r="A59" s="4"/>
      <c r="B59" s="27"/>
      <c r="C59" s="218" t="s">
        <v>382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</row>
    <row r="60" spans="1:48" ht="15" customHeight="1" x14ac:dyDescent="0.25">
      <c r="A60" s="4"/>
      <c r="B60" s="27"/>
      <c r="C60" s="174" t="s">
        <v>380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</row>
    <row r="61" spans="1:48" ht="30" customHeight="1" x14ac:dyDescent="0.25">
      <c r="A61" s="4"/>
      <c r="B61" s="27"/>
      <c r="C61" s="135" t="s">
        <v>381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</row>
    <row r="62" spans="1:48" ht="30" customHeight="1" x14ac:dyDescent="0.25">
      <c r="A62" s="4"/>
      <c r="B62" s="27"/>
      <c r="C62" s="150" t="s">
        <v>378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</row>
    <row r="63" spans="1:48" x14ac:dyDescent="0.25">
      <c r="A63" s="4"/>
      <c r="B63" s="27"/>
      <c r="C63" s="139" t="s">
        <v>352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</row>
    <row r="64" spans="1:48" ht="15" customHeight="1" x14ac:dyDescent="0.25">
      <c r="A64" s="4"/>
      <c r="B64" s="136"/>
      <c r="C64" s="138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</row>
    <row r="65" spans="1:48" x14ac:dyDescent="0.25">
      <c r="A65" s="4"/>
      <c r="B65" s="331"/>
      <c r="C65" s="332" t="s">
        <v>2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</row>
    <row r="66" spans="1:48" x14ac:dyDescent="0.25">
      <c r="A66" s="4"/>
      <c r="B66" s="27"/>
      <c r="C66" s="139" t="s">
        <v>392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</row>
    <row r="67" spans="1:48" x14ac:dyDescent="0.25">
      <c r="A67" s="4"/>
      <c r="B67" s="136"/>
      <c r="C67" s="138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</row>
    <row r="68" spans="1:48" ht="7.5" customHeight="1" x14ac:dyDescent="0.25">
      <c r="A68" s="4"/>
      <c r="B68" s="4"/>
      <c r="C68" s="13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</row>
    <row r="69" spans="1:48" ht="7.5" customHeight="1" x14ac:dyDescent="0.25">
      <c r="A69" s="4"/>
      <c r="B69" s="4"/>
      <c r="C69" s="13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</row>
    <row r="70" spans="1:48" ht="117.75" customHeight="1" x14ac:dyDescent="0.25">
      <c r="A70" s="4"/>
      <c r="B70" s="203"/>
      <c r="C70" s="204" t="s">
        <v>336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</row>
    <row r="71" spans="1:48" ht="1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</row>
    <row r="72" spans="1:48" ht="15" customHeight="1" x14ac:dyDescent="0.25">
      <c r="A72" s="4"/>
      <c r="B72" s="4"/>
      <c r="C72" s="175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</row>
    <row r="73" spans="1:48" x14ac:dyDescent="0.25">
      <c r="A73" s="4"/>
      <c r="B73" s="4"/>
      <c r="C73" s="12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</row>
    <row r="74" spans="1:48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</row>
    <row r="75" spans="1:48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1:48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1:48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</row>
    <row r="78" spans="1:48" x14ac:dyDescent="0.25">
      <c r="A78" s="4"/>
      <c r="B78" s="4"/>
      <c r="C78" s="4"/>
      <c r="D78" s="10"/>
      <c r="E78" s="4"/>
      <c r="F78" s="4"/>
      <c r="G78" s="6"/>
      <c r="H78" s="4"/>
      <c r="I78" s="4"/>
      <c r="J78" s="4"/>
      <c r="K78" s="4"/>
      <c r="L78" s="4"/>
      <c r="M78" s="4"/>
      <c r="N78" s="4"/>
      <c r="O78" s="4"/>
      <c r="P78" s="4"/>
      <c r="Q78" s="4"/>
      <c r="R78" s="10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</row>
    <row r="79" spans="1:48" x14ac:dyDescent="0.25">
      <c r="A79" s="4"/>
      <c r="B79" s="4"/>
      <c r="C79" s="4"/>
      <c r="D79" s="10"/>
      <c r="E79" s="4"/>
      <c r="F79" s="4"/>
      <c r="G79" s="6"/>
      <c r="H79" s="4"/>
      <c r="I79" s="4"/>
      <c r="J79" s="4"/>
      <c r="K79" s="4"/>
      <c r="L79" s="4"/>
      <c r="M79" s="4"/>
      <c r="N79" s="4"/>
      <c r="O79" s="4"/>
      <c r="P79" s="4"/>
      <c r="Q79" s="4"/>
      <c r="R79" s="10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</row>
    <row r="80" spans="1:48" x14ac:dyDescent="0.25">
      <c r="A80" s="4"/>
      <c r="B80" s="4"/>
      <c r="C80" s="4"/>
      <c r="D80" s="10"/>
      <c r="E80" s="4"/>
      <c r="F80" s="4"/>
      <c r="G80" s="6"/>
      <c r="H80" s="4"/>
      <c r="I80" s="4"/>
      <c r="J80" s="4"/>
      <c r="K80" s="4"/>
      <c r="L80" s="4"/>
      <c r="M80" s="4"/>
      <c r="N80" s="4"/>
      <c r="O80" s="4"/>
      <c r="P80" s="4"/>
      <c r="Q80" s="4"/>
      <c r="R80" s="10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</row>
    <row r="81" spans="1:48" x14ac:dyDescent="0.25">
      <c r="A81" s="4"/>
      <c r="B81" s="4"/>
      <c r="C81" s="4"/>
      <c r="D81" s="10"/>
      <c r="E81" s="4"/>
      <c r="F81" s="4"/>
      <c r="G81" s="6"/>
      <c r="H81" s="4"/>
      <c r="I81" s="4"/>
      <c r="J81" s="4"/>
      <c r="K81" s="4"/>
      <c r="L81" s="4"/>
      <c r="M81" s="4"/>
      <c r="N81" s="4"/>
      <c r="O81" s="4"/>
      <c r="P81" s="4"/>
      <c r="Q81" s="4"/>
      <c r="R81" s="10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</row>
    <row r="82" spans="1:48" x14ac:dyDescent="0.25">
      <c r="A82" s="4"/>
      <c r="B82" s="4"/>
      <c r="C82" s="4"/>
      <c r="D82" s="10"/>
      <c r="E82" s="4"/>
      <c r="F82" s="4"/>
      <c r="G82" s="6"/>
      <c r="H82" s="4"/>
      <c r="I82" s="4"/>
      <c r="J82" s="4"/>
      <c r="K82" s="4"/>
      <c r="L82" s="4"/>
      <c r="M82" s="4"/>
      <c r="N82" s="4"/>
      <c r="O82" s="4"/>
      <c r="P82" s="4"/>
      <c r="Q82" s="4"/>
      <c r="R82" s="10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</row>
    <row r="83" spans="1:48" x14ac:dyDescent="0.25">
      <c r="A83" s="4"/>
      <c r="B83" s="4"/>
      <c r="C83" s="4"/>
      <c r="D83" s="10"/>
      <c r="E83" s="4"/>
      <c r="F83" s="4"/>
      <c r="G83" s="6"/>
      <c r="H83" s="4"/>
      <c r="I83" s="4"/>
      <c r="J83" s="4"/>
      <c r="K83" s="4"/>
      <c r="L83" s="4"/>
      <c r="M83" s="4"/>
      <c r="N83" s="4"/>
      <c r="O83" s="4"/>
      <c r="P83" s="4"/>
      <c r="Q83" s="4"/>
      <c r="R83" s="10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</row>
    <row r="84" spans="1:48" x14ac:dyDescent="0.25">
      <c r="A84" s="4"/>
      <c r="B84" s="4"/>
      <c r="C84" s="4"/>
      <c r="D84" s="10"/>
      <c r="E84" s="4"/>
      <c r="F84" s="4"/>
      <c r="G84" s="6"/>
      <c r="H84" s="4"/>
      <c r="I84" s="4"/>
      <c r="J84" s="4"/>
      <c r="K84" s="4"/>
      <c r="L84" s="4"/>
      <c r="M84" s="4"/>
      <c r="N84" s="4"/>
      <c r="O84" s="4"/>
      <c r="P84" s="4"/>
      <c r="Q84" s="4"/>
      <c r="R84" s="10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</row>
    <row r="85" spans="1:48" x14ac:dyDescent="0.25">
      <c r="A85" s="4"/>
      <c r="B85" s="4"/>
      <c r="C85" s="4"/>
      <c r="D85" s="10"/>
      <c r="E85" s="4"/>
      <c r="F85" s="4"/>
      <c r="G85" s="6"/>
      <c r="H85" s="4"/>
      <c r="I85" s="4"/>
      <c r="J85" s="4"/>
      <c r="K85" s="4"/>
      <c r="L85" s="4"/>
      <c r="M85" s="4"/>
      <c r="N85" s="4"/>
      <c r="O85" s="4"/>
      <c r="P85" s="4"/>
      <c r="Q85" s="4"/>
      <c r="R85" s="10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</row>
    <row r="86" spans="1:48" x14ac:dyDescent="0.25">
      <c r="A86" s="4"/>
      <c r="B86" s="4"/>
      <c r="C86" s="4"/>
      <c r="D86" s="10"/>
      <c r="E86" s="4"/>
      <c r="F86" s="4"/>
      <c r="G86" s="6"/>
      <c r="H86" s="4"/>
      <c r="I86" s="4"/>
      <c r="J86" s="4"/>
      <c r="K86" s="4"/>
      <c r="L86" s="4"/>
      <c r="M86" s="4"/>
      <c r="N86" s="4"/>
      <c r="O86" s="4"/>
      <c r="P86" s="4"/>
      <c r="Q86" s="4"/>
      <c r="R86" s="10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</row>
    <row r="87" spans="1:48" x14ac:dyDescent="0.25">
      <c r="A87" s="4"/>
      <c r="B87" s="4"/>
      <c r="C87" s="4"/>
      <c r="D87" s="10"/>
      <c r="E87" s="4"/>
      <c r="F87" s="4"/>
      <c r="G87" s="6"/>
      <c r="H87" s="4"/>
      <c r="I87" s="4"/>
      <c r="J87" s="4"/>
      <c r="K87" s="4"/>
      <c r="L87" s="4"/>
      <c r="M87" s="4"/>
      <c r="N87" s="4"/>
      <c r="O87" s="4"/>
      <c r="P87" s="4"/>
      <c r="Q87" s="4"/>
      <c r="R87" s="10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</row>
    <row r="88" spans="1:48" x14ac:dyDescent="0.25">
      <c r="A88" s="4"/>
      <c r="B88" s="4"/>
      <c r="C88" s="4"/>
      <c r="D88" s="10"/>
      <c r="E88" s="4"/>
      <c r="F88" s="4"/>
      <c r="G88" s="6"/>
      <c r="H88" s="4"/>
      <c r="I88" s="4"/>
      <c r="J88" s="4"/>
      <c r="K88" s="4"/>
      <c r="L88" s="4"/>
      <c r="M88" s="4"/>
      <c r="N88" s="4"/>
      <c r="O88" s="4"/>
      <c r="P88" s="4"/>
      <c r="Q88" s="4"/>
      <c r="R88" s="10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</row>
    <row r="89" spans="1:48" x14ac:dyDescent="0.25">
      <c r="A89" s="4"/>
      <c r="B89" s="4"/>
      <c r="C89" s="4"/>
      <c r="D89" s="10"/>
      <c r="E89" s="4"/>
      <c r="F89" s="4"/>
      <c r="G89" s="6"/>
      <c r="H89" s="4"/>
      <c r="I89" s="4"/>
      <c r="J89" s="4"/>
      <c r="K89" s="4"/>
      <c r="L89" s="4"/>
      <c r="M89" s="4"/>
      <c r="N89" s="4"/>
      <c r="O89" s="4"/>
      <c r="P89" s="4"/>
      <c r="Q89" s="4"/>
      <c r="R89" s="10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</row>
    <row r="90" spans="1:48" x14ac:dyDescent="0.25">
      <c r="A90" s="4"/>
      <c r="B90" s="4"/>
      <c r="C90" s="4"/>
      <c r="D90" s="10"/>
      <c r="E90" s="4"/>
      <c r="F90" s="4"/>
      <c r="G90" s="6"/>
      <c r="H90" s="4"/>
      <c r="I90" s="4"/>
      <c r="J90" s="4"/>
      <c r="K90" s="4"/>
      <c r="L90" s="4"/>
      <c r="M90" s="4"/>
      <c r="N90" s="4"/>
      <c r="O90" s="4"/>
      <c r="P90" s="4"/>
      <c r="Q90" s="4"/>
      <c r="R90" s="10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</row>
    <row r="91" spans="1:48" x14ac:dyDescent="0.25">
      <c r="A91" s="4"/>
      <c r="B91" s="4"/>
      <c r="C91" s="4"/>
      <c r="D91" s="10"/>
      <c r="E91" s="4"/>
      <c r="F91" s="4"/>
      <c r="G91" s="6"/>
      <c r="H91" s="4"/>
      <c r="I91" s="4"/>
      <c r="J91" s="4"/>
      <c r="K91" s="4"/>
      <c r="L91" s="4"/>
      <c r="M91" s="4"/>
      <c r="N91" s="4"/>
      <c r="O91" s="4"/>
      <c r="P91" s="4"/>
      <c r="Q91" s="4"/>
      <c r="R91" s="10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</row>
    <row r="92" spans="1:48" x14ac:dyDescent="0.25">
      <c r="A92" s="4"/>
      <c r="B92" s="4"/>
      <c r="C92" s="4"/>
      <c r="D92" s="10"/>
      <c r="E92" s="4"/>
      <c r="F92" s="4"/>
      <c r="G92" s="6"/>
      <c r="H92" s="4"/>
      <c r="I92" s="4"/>
      <c r="J92" s="4"/>
      <c r="K92" s="4"/>
      <c r="L92" s="4"/>
      <c r="M92" s="4"/>
      <c r="N92" s="4"/>
      <c r="O92" s="4"/>
      <c r="P92" s="4"/>
      <c r="Q92" s="4"/>
      <c r="R92" s="10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</row>
    <row r="93" spans="1:48" x14ac:dyDescent="0.25">
      <c r="A93" s="4"/>
      <c r="B93" s="4"/>
      <c r="C93" s="4"/>
      <c r="D93" s="10"/>
      <c r="E93" s="4"/>
      <c r="F93" s="4"/>
      <c r="G93" s="6"/>
      <c r="H93" s="4"/>
      <c r="I93" s="4"/>
      <c r="J93" s="4"/>
      <c r="K93" s="4"/>
      <c r="L93" s="4"/>
      <c r="M93" s="4"/>
      <c r="N93" s="4"/>
      <c r="O93" s="4"/>
      <c r="P93" s="4"/>
      <c r="Q93" s="4"/>
      <c r="R93" s="10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</row>
    <row r="94" spans="1:48" x14ac:dyDescent="0.25">
      <c r="A94" s="4"/>
      <c r="B94" s="4"/>
      <c r="C94" s="4"/>
      <c r="D94" s="10"/>
      <c r="E94" s="4"/>
      <c r="F94" s="4"/>
      <c r="G94" s="6"/>
      <c r="H94" s="4"/>
      <c r="I94" s="4"/>
      <c r="J94" s="4"/>
      <c r="K94" s="4"/>
      <c r="L94" s="4"/>
      <c r="M94" s="4"/>
      <c r="N94" s="4"/>
      <c r="O94" s="4"/>
      <c r="P94" s="4"/>
      <c r="Q94" s="4"/>
      <c r="R94" s="10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</row>
    <row r="95" spans="1:48" x14ac:dyDescent="0.25">
      <c r="A95" s="4"/>
      <c r="B95" s="4"/>
      <c r="C95" s="4"/>
      <c r="D95" s="10"/>
      <c r="E95" s="4"/>
      <c r="F95" s="4"/>
      <c r="G95" s="6"/>
      <c r="H95" s="4"/>
      <c r="I95" s="4"/>
      <c r="J95" s="4"/>
      <c r="K95" s="4"/>
      <c r="L95" s="4"/>
      <c r="M95" s="4"/>
      <c r="N95" s="4"/>
      <c r="O95" s="4"/>
      <c r="P95" s="4"/>
      <c r="Q95" s="4"/>
      <c r="R95" s="10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</row>
    <row r="96" spans="1:48" x14ac:dyDescent="0.25">
      <c r="A96" s="4"/>
      <c r="B96" s="4"/>
      <c r="C96" s="4"/>
      <c r="D96" s="10"/>
      <c r="E96" s="4"/>
      <c r="F96" s="4"/>
      <c r="G96" s="6"/>
      <c r="H96" s="4"/>
      <c r="I96" s="4"/>
      <c r="J96" s="4"/>
      <c r="K96" s="4"/>
      <c r="L96" s="4"/>
      <c r="M96" s="4"/>
      <c r="N96" s="4"/>
      <c r="O96" s="4"/>
      <c r="P96" s="4"/>
      <c r="Q96" s="4"/>
      <c r="R96" s="10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</row>
    <row r="97" spans="1:48" x14ac:dyDescent="0.25">
      <c r="A97" s="4"/>
      <c r="B97" s="4"/>
      <c r="C97" s="4"/>
      <c r="D97" s="10"/>
      <c r="E97" s="4"/>
      <c r="F97" s="4"/>
      <c r="G97" s="6"/>
      <c r="H97" s="4"/>
      <c r="I97" s="4"/>
      <c r="J97" s="4"/>
      <c r="K97" s="4"/>
      <c r="L97" s="4"/>
      <c r="M97" s="4"/>
      <c r="N97" s="4"/>
      <c r="O97" s="4"/>
      <c r="P97" s="4"/>
      <c r="Q97" s="4"/>
      <c r="R97" s="10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</row>
    <row r="98" spans="1:48" x14ac:dyDescent="0.25">
      <c r="A98" s="4"/>
      <c r="B98" s="4"/>
      <c r="C98" s="4"/>
      <c r="D98" s="10"/>
      <c r="E98" s="4"/>
      <c r="F98" s="4"/>
      <c r="G98" s="6"/>
      <c r="H98" s="4"/>
      <c r="I98" s="4"/>
      <c r="J98" s="4"/>
      <c r="K98" s="4"/>
      <c r="L98" s="4"/>
      <c r="M98" s="4"/>
      <c r="N98" s="4"/>
      <c r="O98" s="4"/>
      <c r="P98" s="4"/>
      <c r="Q98" s="4"/>
      <c r="R98" s="10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</row>
    <row r="99" spans="1:48" x14ac:dyDescent="0.25">
      <c r="A99" s="4"/>
      <c r="B99" s="4"/>
      <c r="C99" s="4"/>
      <c r="D99" s="10"/>
      <c r="E99" s="4"/>
      <c r="F99" s="4"/>
      <c r="G99" s="6"/>
      <c r="H99" s="4"/>
      <c r="I99" s="4"/>
      <c r="J99" s="4"/>
      <c r="K99" s="4"/>
      <c r="L99" s="4"/>
      <c r="M99" s="4"/>
      <c r="N99" s="4"/>
      <c r="O99" s="4"/>
      <c r="P99" s="4"/>
      <c r="Q99" s="4"/>
      <c r="R99" s="10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</row>
    <row r="100" spans="1:48" x14ac:dyDescent="0.25">
      <c r="A100" s="4"/>
      <c r="B100" s="4"/>
      <c r="C100" s="4"/>
      <c r="D100" s="10"/>
      <c r="E100" s="4"/>
      <c r="F100" s="4"/>
      <c r="G100" s="6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10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</row>
    <row r="101" spans="1:48" x14ac:dyDescent="0.25">
      <c r="A101" s="4"/>
      <c r="B101" s="4"/>
      <c r="C101" s="4"/>
      <c r="D101" s="7"/>
      <c r="E101" s="4"/>
      <c r="F101" s="4"/>
      <c r="G101" s="6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10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</row>
    <row r="102" spans="1:48" x14ac:dyDescent="0.25">
      <c r="A102" s="4"/>
      <c r="B102" s="4"/>
      <c r="C102" s="4"/>
      <c r="D102" s="4"/>
      <c r="E102" s="4"/>
      <c r="F102" s="4"/>
      <c r="G102" s="6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10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</row>
    <row r="103" spans="1:48" x14ac:dyDescent="0.25">
      <c r="A103" s="4"/>
      <c r="B103" s="4"/>
      <c r="C103" s="4"/>
      <c r="D103" s="4"/>
      <c r="E103" s="4"/>
      <c r="F103" s="4"/>
      <c r="G103" s="6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10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</row>
    <row r="104" spans="1:48" x14ac:dyDescent="0.25">
      <c r="A104" s="4"/>
      <c r="B104" s="4"/>
      <c r="C104" s="4"/>
      <c r="D104" s="4"/>
      <c r="E104" s="4"/>
      <c r="F104" s="4"/>
      <c r="G104" s="6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10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</row>
    <row r="105" spans="1:48" x14ac:dyDescent="0.25">
      <c r="A105" s="4"/>
      <c r="B105" s="4"/>
      <c r="C105" s="4"/>
      <c r="D105" s="4"/>
      <c r="E105" s="4"/>
      <c r="F105" s="4"/>
      <c r="G105" s="6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10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</row>
    <row r="106" spans="1:48" x14ac:dyDescent="0.25">
      <c r="A106" s="4"/>
      <c r="B106" s="4"/>
      <c r="C106" s="4"/>
      <c r="D106" s="4"/>
      <c r="E106" s="4"/>
      <c r="F106" s="4"/>
      <c r="G106" s="6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10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</row>
    <row r="107" spans="1:48" x14ac:dyDescent="0.25">
      <c r="A107" s="4"/>
      <c r="B107" s="4"/>
      <c r="C107" s="4"/>
      <c r="D107" s="4"/>
      <c r="E107" s="4"/>
      <c r="F107" s="4"/>
      <c r="G107" s="6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10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</row>
    <row r="108" spans="1:48" x14ac:dyDescent="0.25">
      <c r="A108" s="4"/>
      <c r="B108" s="4"/>
      <c r="C108" s="4"/>
      <c r="D108" s="4"/>
      <c r="E108" s="4"/>
      <c r="F108" s="4"/>
      <c r="G108" s="6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10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</row>
    <row r="109" spans="1:48" x14ac:dyDescent="0.25">
      <c r="A109" s="4"/>
      <c r="B109" s="4"/>
      <c r="C109" s="4"/>
      <c r="D109" s="4"/>
      <c r="E109" s="4"/>
      <c r="F109" s="4"/>
      <c r="G109" s="6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10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</row>
    <row r="110" spans="1:48" x14ac:dyDescent="0.25">
      <c r="A110" s="4"/>
      <c r="B110" s="4"/>
      <c r="C110" s="4"/>
      <c r="D110" s="4"/>
      <c r="E110" s="4"/>
      <c r="F110" s="4"/>
      <c r="G110" s="6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10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</row>
    <row r="111" spans="1:48" x14ac:dyDescent="0.25">
      <c r="A111" s="4"/>
      <c r="B111" s="4"/>
      <c r="C111" s="4"/>
      <c r="D111" s="4"/>
      <c r="E111" s="4"/>
      <c r="F111" s="4"/>
      <c r="G111" s="6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10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</row>
    <row r="112" spans="1:48" x14ac:dyDescent="0.25">
      <c r="A112" s="11"/>
      <c r="B112" s="4"/>
      <c r="C112" s="4"/>
      <c r="D112" s="4"/>
      <c r="E112" s="4"/>
      <c r="F112" s="4"/>
      <c r="G112" s="6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10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</row>
    <row r="113" spans="1:48" x14ac:dyDescent="0.25">
      <c r="A113" s="11"/>
      <c r="B113" s="4"/>
      <c r="C113" s="4"/>
      <c r="D113" s="4"/>
      <c r="E113" s="4"/>
      <c r="F113" s="4"/>
      <c r="G113" s="6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10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</row>
    <row r="114" spans="1:48" x14ac:dyDescent="0.25">
      <c r="A114" s="11"/>
      <c r="B114" s="4"/>
      <c r="C114" s="4"/>
      <c r="D114" s="4"/>
      <c r="E114" s="4"/>
      <c r="F114" s="4"/>
      <c r="G114" s="6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10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</row>
    <row r="115" spans="1:48" x14ac:dyDescent="0.25">
      <c r="A115" s="11"/>
      <c r="B115" s="4"/>
      <c r="C115" s="4"/>
      <c r="D115" s="4"/>
      <c r="E115" s="4"/>
      <c r="F115" s="4"/>
      <c r="G115" s="6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10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</row>
    <row r="116" spans="1:48" x14ac:dyDescent="0.25">
      <c r="A116" s="11"/>
      <c r="B116" s="4"/>
      <c r="C116" s="4"/>
      <c r="D116" s="4"/>
      <c r="E116" s="4"/>
      <c r="F116" s="4"/>
      <c r="G116" s="6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10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</row>
    <row r="117" spans="1:48" x14ac:dyDescent="0.25">
      <c r="A117" s="11"/>
      <c r="B117" s="4"/>
      <c r="C117" s="4"/>
      <c r="D117" s="4"/>
      <c r="E117" s="4"/>
      <c r="F117" s="4"/>
      <c r="G117" s="6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10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</row>
    <row r="118" spans="1:48" x14ac:dyDescent="0.25">
      <c r="A118" s="11"/>
      <c r="B118" s="4"/>
      <c r="C118" s="4"/>
      <c r="D118" s="4"/>
      <c r="E118" s="4"/>
      <c r="F118" s="4"/>
      <c r="G118" s="6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10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</row>
    <row r="119" spans="1:48" x14ac:dyDescent="0.25">
      <c r="A119" s="11"/>
      <c r="B119" s="4"/>
      <c r="C119" s="4"/>
      <c r="D119" s="4"/>
      <c r="E119" s="4"/>
      <c r="F119" s="4"/>
      <c r="G119" s="6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10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</row>
    <row r="120" spans="1:48" x14ac:dyDescent="0.25">
      <c r="A120" s="11"/>
      <c r="B120" s="4"/>
      <c r="C120" s="4"/>
      <c r="D120" s="4"/>
      <c r="E120" s="4"/>
      <c r="F120" s="4"/>
      <c r="G120" s="6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10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</row>
    <row r="121" spans="1:48" x14ac:dyDescent="0.25">
      <c r="A121" s="11"/>
      <c r="B121" s="4"/>
      <c r="C121" s="4"/>
      <c r="D121" s="4"/>
      <c r="E121" s="4"/>
      <c r="F121" s="4"/>
      <c r="G121" s="6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10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</row>
    <row r="122" spans="1:48" x14ac:dyDescent="0.25">
      <c r="A122" s="11"/>
      <c r="B122" s="4"/>
      <c r="C122" s="4"/>
      <c r="D122" s="4"/>
      <c r="E122" s="4"/>
      <c r="F122" s="4"/>
      <c r="G122" s="6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10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</row>
    <row r="123" spans="1:48" x14ac:dyDescent="0.25">
      <c r="A123" s="11"/>
      <c r="B123" s="4"/>
      <c r="C123" s="4"/>
      <c r="D123" s="4"/>
      <c r="E123" s="4"/>
      <c r="F123" s="4"/>
      <c r="G123" s="6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10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</row>
    <row r="124" spans="1:48" x14ac:dyDescent="0.25">
      <c r="A124" s="11"/>
      <c r="B124" s="4"/>
      <c r="C124" s="4"/>
      <c r="D124" s="4"/>
      <c r="E124" s="4"/>
      <c r="F124" s="4"/>
      <c r="G124" s="6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10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</row>
    <row r="125" spans="1:48" x14ac:dyDescent="0.25">
      <c r="A125" s="11"/>
      <c r="B125" s="4"/>
      <c r="C125" s="4"/>
      <c r="D125" s="4"/>
      <c r="E125" s="4"/>
      <c r="F125" s="4"/>
      <c r="G125" s="6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10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</row>
    <row r="126" spans="1:48" x14ac:dyDescent="0.25">
      <c r="A126" s="11"/>
      <c r="B126" s="4"/>
      <c r="C126" s="4"/>
      <c r="D126" s="4"/>
      <c r="E126" s="4"/>
      <c r="F126" s="4"/>
      <c r="G126" s="6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10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</row>
    <row r="127" spans="1:48" x14ac:dyDescent="0.25">
      <c r="A127" s="11"/>
      <c r="B127" s="4"/>
      <c r="C127" s="4"/>
      <c r="D127" s="4"/>
      <c r="E127" s="4"/>
      <c r="F127" s="4"/>
      <c r="G127" s="6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10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</row>
    <row r="128" spans="1:48" x14ac:dyDescent="0.25">
      <c r="A128" s="11"/>
      <c r="B128" s="4"/>
      <c r="C128" s="4"/>
      <c r="D128" s="4"/>
      <c r="E128" s="4"/>
      <c r="F128" s="4"/>
      <c r="G128" s="6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10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1:48" x14ac:dyDescent="0.25">
      <c r="A129" s="11"/>
      <c r="B129" s="4"/>
      <c r="C129" s="4"/>
      <c r="D129" s="4"/>
      <c r="E129" s="4"/>
      <c r="F129" s="4"/>
      <c r="G129" s="6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10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</row>
    <row r="130" spans="1:48" x14ac:dyDescent="0.25">
      <c r="A130" s="11"/>
      <c r="B130" s="4"/>
      <c r="C130" s="4"/>
      <c r="D130" s="4"/>
      <c r="E130" s="4"/>
      <c r="F130" s="4"/>
      <c r="G130" s="6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10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</row>
    <row r="131" spans="1:48" x14ac:dyDescent="0.25">
      <c r="A131" s="9"/>
      <c r="B131" s="8"/>
      <c r="C131" s="8"/>
      <c r="D131" s="8"/>
      <c r="E131" s="8"/>
      <c r="F131" s="8"/>
      <c r="G131" s="5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7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</row>
    <row r="132" spans="1:48" x14ac:dyDescent="0.25">
      <c r="A132" s="4"/>
      <c r="B132" s="4"/>
      <c r="C132" s="4"/>
      <c r="D132" s="4"/>
      <c r="E132" s="4"/>
      <c r="F132" s="4"/>
      <c r="G132" s="6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</row>
    <row r="133" spans="1:48" x14ac:dyDescent="0.25">
      <c r="A133" s="4"/>
      <c r="B133" s="4"/>
      <c r="C133" s="4"/>
      <c r="D133" s="4"/>
      <c r="E133" s="4"/>
      <c r="F133" s="4"/>
      <c r="G133" s="6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</row>
    <row r="134" spans="1:48" x14ac:dyDescent="0.25">
      <c r="A134" s="4"/>
      <c r="B134" s="4"/>
      <c r="C134" s="4"/>
      <c r="D134" s="4"/>
      <c r="E134" s="4"/>
      <c r="F134" s="4"/>
      <c r="G134" s="6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</row>
    <row r="135" spans="1:48" x14ac:dyDescent="0.25">
      <c r="A135" s="4"/>
      <c r="B135" s="4"/>
      <c r="C135" s="4"/>
      <c r="D135" s="4"/>
      <c r="E135" s="4"/>
      <c r="F135" s="4"/>
      <c r="G135" s="6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</row>
    <row r="136" spans="1:48" x14ac:dyDescent="0.25">
      <c r="A136" s="4"/>
      <c r="B136" s="4"/>
      <c r="C136" s="4"/>
      <c r="D136" s="4"/>
      <c r="E136" s="4"/>
      <c r="F136" s="4"/>
      <c r="G136" s="6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</row>
    <row r="137" spans="1:48" x14ac:dyDescent="0.25">
      <c r="A137" s="4"/>
      <c r="B137" s="4"/>
      <c r="C137" s="4"/>
      <c r="D137" s="4"/>
      <c r="E137" s="4"/>
      <c r="F137" s="4"/>
      <c r="G137" s="6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</row>
    <row r="138" spans="1:48" x14ac:dyDescent="0.25">
      <c r="A138" s="4"/>
      <c r="B138" s="4"/>
      <c r="C138" s="4"/>
      <c r="D138" s="4"/>
      <c r="E138" s="4"/>
      <c r="F138" s="4"/>
      <c r="G138" s="6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</row>
    <row r="139" spans="1:48" x14ac:dyDescent="0.25">
      <c r="A139" s="4"/>
      <c r="B139" s="4"/>
      <c r="C139" s="4"/>
      <c r="D139" s="4"/>
      <c r="E139" s="4"/>
      <c r="F139" s="4"/>
      <c r="G139" s="6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</row>
    <row r="140" spans="1:48" x14ac:dyDescent="0.25">
      <c r="A140" s="4"/>
      <c r="B140" s="4"/>
      <c r="C140" s="4"/>
      <c r="D140" s="4"/>
      <c r="E140" s="4"/>
      <c r="F140" s="4"/>
      <c r="G140" s="6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</row>
    <row r="141" spans="1:48" x14ac:dyDescent="0.25">
      <c r="A141" s="4"/>
      <c r="B141" s="4"/>
      <c r="C141" s="4"/>
      <c r="D141" s="4"/>
      <c r="E141" s="4"/>
      <c r="F141" s="4"/>
      <c r="G141" s="6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</row>
    <row r="142" spans="1:48" x14ac:dyDescent="0.25">
      <c r="A142" s="4"/>
      <c r="B142" s="4"/>
      <c r="C142" s="4"/>
      <c r="D142" s="4"/>
      <c r="E142" s="4"/>
      <c r="F142" s="4"/>
      <c r="G142" s="6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</row>
    <row r="143" spans="1:48" x14ac:dyDescent="0.25">
      <c r="A143" s="4"/>
      <c r="B143" s="4"/>
      <c r="C143" s="4"/>
      <c r="D143" s="4"/>
      <c r="E143" s="4"/>
      <c r="F143" s="4"/>
      <c r="G143" s="6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</row>
    <row r="144" spans="1:48" x14ac:dyDescent="0.25">
      <c r="A144" s="4"/>
      <c r="B144" s="4"/>
      <c r="C144" s="4"/>
      <c r="D144" s="4"/>
      <c r="E144" s="4"/>
      <c r="F144" s="4"/>
      <c r="G144" s="6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</row>
    <row r="145" spans="1:48" x14ac:dyDescent="0.25">
      <c r="A145" s="4"/>
      <c r="B145" s="4"/>
      <c r="C145" s="4"/>
      <c r="D145" s="4"/>
      <c r="E145" s="4"/>
      <c r="F145" s="4"/>
      <c r="G145" s="6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</row>
    <row r="146" spans="1:48" x14ac:dyDescent="0.25">
      <c r="A146" s="4"/>
      <c r="B146" s="4"/>
      <c r="C146" s="4"/>
      <c r="D146" s="4"/>
      <c r="E146" s="4"/>
      <c r="F146" s="4"/>
      <c r="G146" s="6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</row>
    <row r="147" spans="1:48" x14ac:dyDescent="0.25">
      <c r="A147" s="4"/>
      <c r="B147" s="4"/>
      <c r="C147" s="4"/>
      <c r="D147" s="4"/>
      <c r="E147" s="4"/>
      <c r="F147" s="4"/>
      <c r="G147" s="6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</row>
    <row r="148" spans="1:48" x14ac:dyDescent="0.25">
      <c r="A148" s="4"/>
      <c r="B148" s="4"/>
      <c r="C148" s="4"/>
      <c r="D148" s="4"/>
      <c r="E148" s="4"/>
      <c r="F148" s="4"/>
      <c r="G148" s="6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</row>
    <row r="149" spans="1:48" x14ac:dyDescent="0.25">
      <c r="A149" s="4"/>
      <c r="B149" s="4"/>
      <c r="C149" s="4"/>
      <c r="D149" s="4"/>
      <c r="E149" s="4"/>
      <c r="F149" s="4"/>
      <c r="G149" s="6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</row>
    <row r="150" spans="1:48" x14ac:dyDescent="0.25">
      <c r="A150" s="4"/>
      <c r="B150" s="4"/>
      <c r="C150" s="4"/>
      <c r="D150" s="4"/>
      <c r="E150" s="4"/>
      <c r="F150" s="4"/>
      <c r="G150" s="6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</row>
    <row r="151" spans="1:48" x14ac:dyDescent="0.25">
      <c r="A151" s="4"/>
      <c r="B151" s="4"/>
      <c r="C151" s="4"/>
      <c r="D151" s="4"/>
      <c r="E151" s="4"/>
      <c r="F151" s="4"/>
      <c r="G151" s="6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</row>
    <row r="152" spans="1:48" x14ac:dyDescent="0.25">
      <c r="A152" s="4"/>
      <c r="B152" s="4"/>
      <c r="C152" s="4"/>
      <c r="D152" s="4"/>
      <c r="E152" s="4"/>
      <c r="F152" s="4"/>
      <c r="G152" s="6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</row>
    <row r="153" spans="1:48" x14ac:dyDescent="0.25">
      <c r="A153" s="4"/>
      <c r="B153" s="4"/>
      <c r="C153" s="4"/>
      <c r="D153" s="4"/>
      <c r="E153" s="4"/>
      <c r="F153" s="4"/>
      <c r="G153" s="6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</row>
    <row r="154" spans="1:48" x14ac:dyDescent="0.25">
      <c r="A154" s="4"/>
      <c r="B154" s="4"/>
      <c r="C154" s="4"/>
      <c r="D154" s="4"/>
      <c r="E154" s="4"/>
      <c r="F154" s="4"/>
      <c r="G154" s="6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</row>
    <row r="155" spans="1:48" x14ac:dyDescent="0.25">
      <c r="A155" s="4"/>
      <c r="B155" s="4"/>
      <c r="C155" s="4"/>
      <c r="D155" s="4"/>
      <c r="E155" s="4"/>
      <c r="F155" s="4"/>
      <c r="G155" s="6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</row>
    <row r="156" spans="1:48" x14ac:dyDescent="0.25">
      <c r="A156" s="4"/>
      <c r="B156" s="4"/>
      <c r="C156" s="4"/>
      <c r="D156" s="4"/>
      <c r="E156" s="4"/>
      <c r="F156" s="4"/>
      <c r="G156" s="6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</row>
    <row r="157" spans="1:48" x14ac:dyDescent="0.25">
      <c r="A157" s="4"/>
      <c r="B157" s="4"/>
      <c r="C157" s="4"/>
      <c r="D157" s="4"/>
      <c r="E157" s="4"/>
      <c r="F157" s="4"/>
      <c r="G157" s="6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</row>
    <row r="158" spans="1:48" x14ac:dyDescent="0.25">
      <c r="A158" s="4"/>
      <c r="B158" s="4"/>
      <c r="C158" s="4"/>
      <c r="D158" s="4"/>
      <c r="E158" s="4"/>
      <c r="F158" s="4"/>
      <c r="G158" s="6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</row>
    <row r="159" spans="1:48" x14ac:dyDescent="0.25">
      <c r="A159" s="4"/>
      <c r="B159" s="4"/>
      <c r="C159" s="4"/>
      <c r="D159" s="4"/>
      <c r="E159" s="4"/>
      <c r="F159" s="4"/>
      <c r="G159" s="6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</row>
    <row r="160" spans="1:48" x14ac:dyDescent="0.25">
      <c r="A160" s="4"/>
      <c r="B160" s="4"/>
      <c r="C160" s="4"/>
      <c r="D160" s="4"/>
      <c r="E160" s="4"/>
      <c r="F160" s="4"/>
      <c r="G160" s="6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</row>
    <row r="161" spans="1:48" x14ac:dyDescent="0.25">
      <c r="A161" s="4"/>
      <c r="B161" s="4"/>
      <c r="C161" s="4"/>
      <c r="D161" s="4"/>
      <c r="E161" s="4"/>
      <c r="F161" s="4"/>
      <c r="G161" s="6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</row>
    <row r="162" spans="1:48" x14ac:dyDescent="0.25">
      <c r="A162" s="4"/>
      <c r="B162" s="4"/>
      <c r="C162" s="4"/>
      <c r="D162" s="4"/>
      <c r="E162" s="4"/>
      <c r="F162" s="4"/>
      <c r="G162" s="6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</row>
    <row r="163" spans="1:48" x14ac:dyDescent="0.25">
      <c r="A163" s="4"/>
      <c r="B163" s="4"/>
      <c r="C163" s="4"/>
      <c r="D163" s="4"/>
      <c r="E163" s="4"/>
      <c r="F163" s="4"/>
      <c r="G163" s="6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</row>
    <row r="164" spans="1:48" x14ac:dyDescent="0.25">
      <c r="A164" s="4"/>
      <c r="B164" s="4"/>
      <c r="C164" s="4"/>
      <c r="D164" s="4"/>
      <c r="E164" s="4"/>
      <c r="F164" s="4"/>
      <c r="G164" s="6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</row>
    <row r="165" spans="1:48" x14ac:dyDescent="0.25">
      <c r="A165" s="4"/>
      <c r="B165" s="4"/>
      <c r="C165" s="4"/>
      <c r="D165" s="4"/>
      <c r="E165" s="4"/>
      <c r="F165" s="4"/>
      <c r="G165" s="6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</row>
    <row r="166" spans="1:48" x14ac:dyDescent="0.25">
      <c r="A166" s="4"/>
      <c r="B166" s="4"/>
      <c r="C166" s="4"/>
      <c r="D166" s="4"/>
      <c r="E166" s="4"/>
      <c r="F166" s="4"/>
      <c r="G166" s="6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</row>
    <row r="167" spans="1:48" x14ac:dyDescent="0.25">
      <c r="A167" s="4"/>
      <c r="B167" s="4"/>
      <c r="C167" s="4"/>
      <c r="D167" s="4"/>
      <c r="E167" s="4"/>
      <c r="F167" s="4"/>
      <c r="G167" s="5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</row>
    <row r="168" spans="1:48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</row>
    <row r="169" spans="1:48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</row>
    <row r="170" spans="1:48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</row>
    <row r="171" spans="1:48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</row>
    <row r="172" spans="1:48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</row>
    <row r="173" spans="1:48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</row>
    <row r="174" spans="1:48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</row>
    <row r="175" spans="1:48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</row>
    <row r="176" spans="1:48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</row>
    <row r="177" spans="1:48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</row>
    <row r="178" spans="1:48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</row>
    <row r="179" spans="1:48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</row>
    <row r="180" spans="1:48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</row>
    <row r="181" spans="1:48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</row>
    <row r="182" spans="1:48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</row>
    <row r="183" spans="1:48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</row>
    <row r="184" spans="1:48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</row>
    <row r="185" spans="1:48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</row>
    <row r="186" spans="1:48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</row>
    <row r="187" spans="1:48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</row>
    <row r="188" spans="1:48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</row>
    <row r="189" spans="1:48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</row>
    <row r="190" spans="1:48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</row>
    <row r="191" spans="1:48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</row>
    <row r="192" spans="1:48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</row>
    <row r="193" spans="1:48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</row>
    <row r="194" spans="1:48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</row>
    <row r="195" spans="1:48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</row>
    <row r="196" spans="1:48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</row>
    <row r="197" spans="1:48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</row>
    <row r="198" spans="1:48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</row>
    <row r="199" spans="1:48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</row>
    <row r="200" spans="1:48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</row>
    <row r="201" spans="1:48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</row>
    <row r="202" spans="1:48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</row>
    <row r="203" spans="1:48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</row>
    <row r="204" spans="1:48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</row>
    <row r="205" spans="1:48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</row>
    <row r="206" spans="1:48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</row>
    <row r="207" spans="1:48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</row>
    <row r="208" spans="1:48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</row>
    <row r="209" spans="1:48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</row>
    <row r="210" spans="1:48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</row>
    <row r="211" spans="1:48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</row>
    <row r="212" spans="1:48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</row>
    <row r="213" spans="1:48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</row>
    <row r="214" spans="1:48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</row>
    <row r="215" spans="1:48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</row>
    <row r="216" spans="1:48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</row>
    <row r="217" spans="1:48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</row>
    <row r="218" spans="1:48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</row>
    <row r="219" spans="1:48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</row>
    <row r="220" spans="1:48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</row>
    <row r="221" spans="1:48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</row>
    <row r="222" spans="1:48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</row>
    <row r="223" spans="1:48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</row>
    <row r="224" spans="1:48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</row>
    <row r="225" spans="1:48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</row>
    <row r="226" spans="1:48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</row>
    <row r="227" spans="1:48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</row>
    <row r="228" spans="1:48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</row>
    <row r="229" spans="1:48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</row>
    <row r="230" spans="1:48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</row>
    <row r="231" spans="1:48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</row>
    <row r="232" spans="1:48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1:48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1:48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</row>
    <row r="235" spans="1:48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</row>
    <row r="236" spans="1:48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</row>
    <row r="237" spans="1:48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1:48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</row>
    <row r="239" spans="1:48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</row>
    <row r="240" spans="1:48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</row>
    <row r="241" spans="1:48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</row>
    <row r="242" spans="1:48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</row>
    <row r="243" spans="1:48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</row>
    <row r="244" spans="1:48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</row>
    <row r="245" spans="1:48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</row>
    <row r="246" spans="1:48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</row>
    <row r="247" spans="1:48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</row>
    <row r="248" spans="1:48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</row>
    <row r="249" spans="1:48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</row>
    <row r="250" spans="1:48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</row>
    <row r="251" spans="1:48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</row>
    <row r="252" spans="1:48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</row>
    <row r="253" spans="1:48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</row>
    <row r="254" spans="1:48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</row>
    <row r="255" spans="1:48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</row>
    <row r="256" spans="1:48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</row>
    <row r="257" spans="1:48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</row>
    <row r="258" spans="1:48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</row>
    <row r="259" spans="1:48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</row>
    <row r="260" spans="1:48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</row>
    <row r="261" spans="1:48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</row>
    <row r="262" spans="1:48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</row>
    <row r="263" spans="1:48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</row>
    <row r="264" spans="1:48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</row>
    <row r="265" spans="1:48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</row>
    <row r="266" spans="1:48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</row>
    <row r="267" spans="1:48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</row>
    <row r="268" spans="1:48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</row>
    <row r="269" spans="1:48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</row>
    <row r="270" spans="1:48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</row>
    <row r="271" spans="1:48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</row>
    <row r="272" spans="1:48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</row>
    <row r="273" spans="1:48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</row>
    <row r="274" spans="1:48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</row>
    <row r="275" spans="1:48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</row>
    <row r="276" spans="1:48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</row>
    <row r="277" spans="1:48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</row>
    <row r="278" spans="1:48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</row>
    <row r="279" spans="1:48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</row>
    <row r="280" spans="1:48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</row>
    <row r="281" spans="1:48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</row>
    <row r="282" spans="1:48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</row>
    <row r="283" spans="1:48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</row>
    <row r="284" spans="1:48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</row>
    <row r="285" spans="1:48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</row>
    <row r="286" spans="1:48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</row>
    <row r="287" spans="1:48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1:48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</row>
    <row r="289" spans="1:48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</row>
    <row r="290" spans="1:48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</row>
    <row r="291" spans="1:48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</row>
    <row r="292" spans="1:48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</row>
    <row r="293" spans="1:48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</row>
    <row r="294" spans="1:48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</row>
    <row r="295" spans="1:48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</row>
    <row r="296" spans="1:48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</row>
    <row r="297" spans="1:48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</row>
    <row r="298" spans="1:48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</row>
    <row r="299" spans="1:48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</row>
    <row r="300" spans="1:48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</row>
    <row r="301" spans="1:48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</row>
    <row r="302" spans="1:48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</row>
    <row r="303" spans="1:48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</row>
    <row r="304" spans="1:48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</row>
    <row r="305" spans="1:48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</row>
    <row r="306" spans="1:48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</row>
    <row r="307" spans="1:48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</row>
    <row r="308" spans="1:48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</row>
    <row r="309" spans="1:48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</row>
    <row r="310" spans="1:48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</row>
    <row r="311" spans="1:48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</row>
    <row r="312" spans="1:48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</row>
    <row r="313" spans="1:48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</row>
    <row r="314" spans="1:48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</row>
    <row r="315" spans="1:48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</row>
    <row r="316" spans="1:48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</row>
    <row r="317" spans="1:48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</row>
    <row r="318" spans="1:48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</row>
    <row r="319" spans="1:48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</row>
    <row r="320" spans="1:48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</row>
    <row r="321" spans="1:48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</row>
    <row r="322" spans="1:48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</row>
    <row r="323" spans="1:48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</row>
    <row r="324" spans="1:48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</row>
    <row r="325" spans="1:48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</row>
    <row r="326" spans="1:48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</row>
    <row r="327" spans="1:48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</row>
    <row r="328" spans="1:48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</row>
    <row r="329" spans="1:48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</row>
    <row r="330" spans="1:48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</row>
    <row r="331" spans="1:48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</row>
    <row r="332" spans="1:48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</row>
    <row r="333" spans="1:48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</row>
    <row r="334" spans="1:48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</row>
    <row r="335" spans="1:48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</row>
    <row r="336" spans="1:48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</row>
    <row r="337" spans="1:48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</row>
    <row r="338" spans="1:48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</row>
    <row r="339" spans="1:48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</row>
    <row r="340" spans="1:48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</row>
    <row r="341" spans="1:48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</row>
    <row r="342" spans="1:48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</row>
    <row r="343" spans="1:48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</row>
    <row r="344" spans="1:48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</row>
    <row r="345" spans="1:48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</row>
    <row r="346" spans="1:48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</row>
    <row r="347" spans="1:48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</row>
    <row r="348" spans="1:48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</row>
    <row r="349" spans="1:48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</row>
    <row r="350" spans="1:48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</row>
    <row r="351" spans="1:48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</row>
    <row r="352" spans="1:48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</row>
    <row r="353" spans="1:48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</row>
    <row r="354" spans="1:48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</row>
    <row r="355" spans="1:48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</row>
    <row r="356" spans="1:48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</row>
    <row r="357" spans="1:48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</row>
    <row r="358" spans="1:48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</row>
    <row r="359" spans="1:48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</row>
    <row r="360" spans="1:48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</row>
    <row r="361" spans="1:48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</row>
    <row r="362" spans="1:48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</row>
    <row r="363" spans="1:48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</row>
    <row r="364" spans="1:48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</row>
    <row r="365" spans="1:48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</row>
    <row r="366" spans="1:48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</row>
    <row r="367" spans="1:48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</row>
    <row r="368" spans="1:48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</row>
    <row r="369" spans="1:48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</row>
    <row r="370" spans="1:48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</row>
    <row r="371" spans="1:48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</row>
    <row r="372" spans="1:48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</row>
    <row r="373" spans="1:48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</row>
    <row r="374" spans="1:48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</row>
    <row r="375" spans="1:48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</row>
    <row r="376" spans="1:48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</row>
    <row r="377" spans="1:48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</row>
    <row r="378" spans="1:48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</row>
    <row r="379" spans="1:48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</row>
    <row r="380" spans="1:48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</row>
    <row r="381" spans="1:48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</row>
    <row r="382" spans="1:48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</row>
    <row r="383" spans="1:48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</row>
  </sheetData>
  <sheetProtection algorithmName="SHA-512" hashValue="9/CBqzvyUmZko1IIULCvWWG0mFpT8DVY7TJdEWRnYPqHIqj01oJLzDfT2JTY5JwxPVgFufEKqrr6hAGh84v69g==" saltValue="7NRMAB2wUOejUlHGEIjLIg==" spinCount="100000" sheet="1" objects="1" scenarios="1"/>
  <mergeCells count="1">
    <mergeCell ref="E24:E25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workbookViewId="0">
      <selection activeCell="F4" sqref="F4"/>
    </sheetView>
  </sheetViews>
  <sheetFormatPr defaultRowHeight="15" x14ac:dyDescent="0.25"/>
  <cols>
    <col min="1" max="1" width="10.5703125" customWidth="1"/>
    <col min="2" max="2" width="20.85546875" style="294" customWidth="1"/>
    <col min="3" max="3" width="9.42578125" customWidth="1"/>
    <col min="4" max="4" width="11.140625" customWidth="1"/>
    <col min="5" max="5" width="9.7109375" customWidth="1"/>
    <col min="6" max="6" width="12.28515625" customWidth="1"/>
    <col min="7" max="7" width="12.42578125" customWidth="1"/>
    <col min="8" max="8" width="10.7109375" customWidth="1"/>
    <col min="9" max="9" width="10.85546875" customWidth="1"/>
    <col min="11" max="11" width="5.140625" customWidth="1"/>
    <col min="12" max="12" width="18.42578125" customWidth="1"/>
    <col min="13" max="13" width="12.28515625" customWidth="1"/>
    <col min="14" max="14" width="4.42578125" customWidth="1"/>
    <col min="15" max="15" width="23.140625" customWidth="1"/>
    <col min="19" max="19" width="16" customWidth="1"/>
  </cols>
  <sheetData>
    <row r="1" spans="1:21" ht="16.5" thickBot="1" x14ac:dyDescent="0.3">
      <c r="A1" s="309" t="s">
        <v>485</v>
      </c>
      <c r="B1" s="310"/>
      <c r="C1" s="311"/>
      <c r="D1" s="311"/>
      <c r="E1" s="311"/>
      <c r="F1" s="311"/>
      <c r="G1" s="311"/>
      <c r="H1" s="311"/>
      <c r="I1" s="316"/>
      <c r="J1" s="312"/>
      <c r="L1" s="95" t="s">
        <v>487</v>
      </c>
      <c r="M1" s="256">
        <f>'Budgeted Staff Costs'!G5</f>
        <v>0</v>
      </c>
      <c r="N1" s="321"/>
    </row>
    <row r="2" spans="1:21" ht="30" x14ac:dyDescent="0.25">
      <c r="A2" s="313" t="s">
        <v>203</v>
      </c>
      <c r="B2" s="314"/>
      <c r="C2" s="315"/>
      <c r="D2" s="315"/>
      <c r="E2" s="315"/>
      <c r="F2" s="287" t="s">
        <v>466</v>
      </c>
      <c r="G2" s="287" t="s">
        <v>60</v>
      </c>
      <c r="I2" s="100"/>
      <c r="J2" s="82"/>
    </row>
    <row r="3" spans="1:21" ht="60" x14ac:dyDescent="0.25">
      <c r="A3" s="2"/>
      <c r="B3" s="293" t="s">
        <v>201</v>
      </c>
      <c r="C3" s="258" t="s">
        <v>53</v>
      </c>
      <c r="D3" s="258" t="s">
        <v>170</v>
      </c>
      <c r="E3" s="292" t="s">
        <v>169</v>
      </c>
      <c r="F3" s="258" t="s">
        <v>468</v>
      </c>
      <c r="G3" s="258" t="s">
        <v>467</v>
      </c>
      <c r="H3" s="258" t="s">
        <v>465</v>
      </c>
      <c r="I3" s="99"/>
      <c r="J3" s="82"/>
      <c r="L3" s="262" t="s">
        <v>414</v>
      </c>
      <c r="M3" s="258" t="s">
        <v>486</v>
      </c>
      <c r="N3" s="322"/>
      <c r="O3" s="258" t="s">
        <v>469</v>
      </c>
      <c r="P3" s="258" t="s">
        <v>474</v>
      </c>
    </row>
    <row r="4" spans="1:21" x14ac:dyDescent="0.25">
      <c r="B4" s="294" t="s">
        <v>173</v>
      </c>
      <c r="C4" s="87">
        <v>181746.87</v>
      </c>
      <c r="D4" s="87">
        <f>C4*(0.2438-0.17)</f>
        <v>13412.919005999995</v>
      </c>
      <c r="E4" s="87">
        <f>C4*0.17</f>
        <v>30896.9679</v>
      </c>
      <c r="F4" s="87">
        <f>C4*1.1818</f>
        <v>214788.45096599997</v>
      </c>
      <c r="G4" s="87">
        <f>C4*1.2568</f>
        <v>228419.46621599997</v>
      </c>
      <c r="H4" s="86">
        <f>G4/52.178571/37.5</f>
        <v>116.73730516230503</v>
      </c>
      <c r="I4" s="98"/>
      <c r="L4" s="248" t="s">
        <v>278</v>
      </c>
      <c r="M4" s="87">
        <v>181746.87</v>
      </c>
      <c r="N4" s="249"/>
      <c r="O4" s="250" t="s">
        <v>470</v>
      </c>
      <c r="P4" s="323">
        <v>25.68</v>
      </c>
      <c r="S4" t="s">
        <v>476</v>
      </c>
    </row>
    <row r="5" spans="1:21" x14ac:dyDescent="0.25">
      <c r="B5" s="294" t="s">
        <v>174</v>
      </c>
      <c r="C5" s="87">
        <v>155513.45000000001</v>
      </c>
      <c r="D5" s="87">
        <f t="shared" ref="D5:D28" si="0">C5*(0.2438-0.17)</f>
        <v>11476.892609999997</v>
      </c>
      <c r="E5" s="87">
        <f t="shared" ref="E5:E27" si="1">C5*0.17</f>
        <v>26437.286500000006</v>
      </c>
      <c r="F5" s="87">
        <f t="shared" ref="F5:F28" si="2">C5*1.1818</f>
        <v>183785.79521000001</v>
      </c>
      <c r="G5" s="87">
        <f t="shared" ref="G5:G28" si="3">C5*1.2568</f>
        <v>195449.30395999999</v>
      </c>
      <c r="H5" s="86">
        <f t="shared" ref="H5:H28" si="4">G5/52.178571/37.5</f>
        <v>99.887393216141035</v>
      </c>
      <c r="I5" s="98"/>
      <c r="L5" s="248" t="s">
        <v>277</v>
      </c>
      <c r="M5" s="87">
        <v>155513.45000000001</v>
      </c>
      <c r="N5" s="249"/>
      <c r="O5" s="250" t="s">
        <v>471</v>
      </c>
      <c r="P5" s="323">
        <v>17</v>
      </c>
      <c r="S5" t="s">
        <v>197</v>
      </c>
    </row>
    <row r="6" spans="1:21" x14ac:dyDescent="0.25">
      <c r="B6" s="294" t="s">
        <v>175</v>
      </c>
      <c r="C6" s="87">
        <v>153356.54</v>
      </c>
      <c r="D6" s="87">
        <f t="shared" si="0"/>
        <v>11317.712651999997</v>
      </c>
      <c r="E6" s="87">
        <f t="shared" si="1"/>
        <v>26070.611800000002</v>
      </c>
      <c r="F6" s="87">
        <f t="shared" si="2"/>
        <v>181236.75897200001</v>
      </c>
      <c r="G6" s="87">
        <f t="shared" si="3"/>
        <v>192738.499472</v>
      </c>
      <c r="H6" s="86">
        <f t="shared" si="4"/>
        <v>98.501994607198682</v>
      </c>
      <c r="I6" s="98"/>
      <c r="L6" s="248" t="s">
        <v>279</v>
      </c>
      <c r="M6" s="87">
        <v>153356.54</v>
      </c>
      <c r="N6" s="249"/>
      <c r="O6" s="250"/>
      <c r="P6" s="323">
        <f>P4-P5</f>
        <v>8.68</v>
      </c>
      <c r="S6" t="s">
        <v>477</v>
      </c>
      <c r="T6" s="84">
        <v>68722.289999999994</v>
      </c>
    </row>
    <row r="7" spans="1:21" x14ac:dyDescent="0.25">
      <c r="B7" s="294" t="s">
        <v>176</v>
      </c>
      <c r="C7" s="87">
        <v>148628.99</v>
      </c>
      <c r="D7" s="87">
        <f t="shared" si="0"/>
        <v>10968.819461999996</v>
      </c>
      <c r="E7" s="87">
        <f t="shared" si="1"/>
        <v>25266.9283</v>
      </c>
      <c r="F7" s="87">
        <f t="shared" si="2"/>
        <v>175649.74038199999</v>
      </c>
      <c r="G7" s="87">
        <f t="shared" si="3"/>
        <v>186796.91463199997</v>
      </c>
      <c r="H7" s="86">
        <f t="shared" si="4"/>
        <v>95.465455672470071</v>
      </c>
      <c r="L7" s="248" t="s">
        <v>280</v>
      </c>
      <c r="M7" s="87">
        <v>148628.99</v>
      </c>
      <c r="N7" s="249"/>
      <c r="O7" s="250" t="s">
        <v>472</v>
      </c>
      <c r="P7" s="324">
        <v>9.5</v>
      </c>
      <c r="S7" t="s">
        <v>478</v>
      </c>
      <c r="T7" s="84">
        <v>893.39</v>
      </c>
      <c r="U7" s="170">
        <f>T7/$T$6</f>
        <v>1.300000334680349E-2</v>
      </c>
    </row>
    <row r="8" spans="1:21" x14ac:dyDescent="0.25">
      <c r="B8" s="294" t="s">
        <v>177</v>
      </c>
      <c r="C8" s="87">
        <v>143904.95999999999</v>
      </c>
      <c r="D8" s="87">
        <f t="shared" si="0"/>
        <v>10620.186047999996</v>
      </c>
      <c r="E8" s="87">
        <f t="shared" si="1"/>
        <v>24463.843199999999</v>
      </c>
      <c r="F8" s="87">
        <f t="shared" si="2"/>
        <v>170066.88172799998</v>
      </c>
      <c r="G8" s="87">
        <f t="shared" si="3"/>
        <v>180859.75372799998</v>
      </c>
      <c r="H8" s="86">
        <f t="shared" si="4"/>
        <v>92.431177658736559</v>
      </c>
      <c r="L8" s="248" t="s">
        <v>281</v>
      </c>
      <c r="M8" s="87">
        <v>143904.95999999999</v>
      </c>
      <c r="N8" s="249"/>
      <c r="O8" s="250" t="s">
        <v>473</v>
      </c>
      <c r="P8" s="324">
        <f>P6+P7</f>
        <v>18.18</v>
      </c>
      <c r="S8" t="s">
        <v>479</v>
      </c>
      <c r="T8" s="84">
        <v>687.22</v>
      </c>
      <c r="U8" s="170">
        <f t="shared" ref="U8:U13" si="5">T8/$T$6</f>
        <v>9.9999578011733901E-3</v>
      </c>
    </row>
    <row r="9" spans="1:21" x14ac:dyDescent="0.25">
      <c r="B9" s="294" t="s">
        <v>178</v>
      </c>
      <c r="C9" s="87">
        <v>135247.14000000001</v>
      </c>
      <c r="D9" s="87">
        <f t="shared" si="0"/>
        <v>9981.2389319999984</v>
      </c>
      <c r="E9" s="87">
        <f t="shared" si="1"/>
        <v>22992.013800000004</v>
      </c>
      <c r="F9" s="87">
        <f t="shared" si="2"/>
        <v>159835.07005200002</v>
      </c>
      <c r="G9" s="87">
        <f t="shared" si="3"/>
        <v>169978.60555199999</v>
      </c>
      <c r="H9" s="86">
        <f t="shared" si="4"/>
        <v>86.870198394662808</v>
      </c>
      <c r="L9" s="248" t="s">
        <v>282</v>
      </c>
      <c r="M9" s="87">
        <v>135247.14000000001</v>
      </c>
      <c r="N9" s="249"/>
      <c r="O9" s="250"/>
      <c r="S9" t="s">
        <v>480</v>
      </c>
      <c r="T9" s="84">
        <v>3745.36</v>
      </c>
      <c r="U9" s="170">
        <f t="shared" si="5"/>
        <v>5.4499930080909711E-2</v>
      </c>
    </row>
    <row r="10" spans="1:21" x14ac:dyDescent="0.25">
      <c r="B10" s="294" t="s">
        <v>179</v>
      </c>
      <c r="C10" s="87">
        <v>133462.39999999999</v>
      </c>
      <c r="D10" s="87">
        <f t="shared" si="0"/>
        <v>9849.5251199999966</v>
      </c>
      <c r="E10" s="87">
        <f t="shared" si="1"/>
        <v>22688.608</v>
      </c>
      <c r="F10" s="87">
        <f t="shared" si="2"/>
        <v>157725.86431999999</v>
      </c>
      <c r="G10" s="87">
        <f t="shared" si="3"/>
        <v>167735.54431999999</v>
      </c>
      <c r="H10" s="86">
        <f t="shared" si="4"/>
        <v>85.723847219452082</v>
      </c>
      <c r="I10" s="98"/>
      <c r="L10" s="248" t="s">
        <v>283</v>
      </c>
      <c r="M10" s="87">
        <v>133462.39999999999</v>
      </c>
      <c r="N10" s="249"/>
      <c r="O10" s="250"/>
      <c r="S10" t="s">
        <v>169</v>
      </c>
      <c r="T10" s="84">
        <v>11682.79</v>
      </c>
      <c r="U10" s="170">
        <f t="shared" si="5"/>
        <v>0.1700000101859237</v>
      </c>
    </row>
    <row r="11" spans="1:21" x14ac:dyDescent="0.25">
      <c r="B11" s="294" t="s">
        <v>180</v>
      </c>
      <c r="C11" s="87">
        <v>129914.89</v>
      </c>
      <c r="D11" s="87">
        <f t="shared" si="0"/>
        <v>9587.7188819999974</v>
      </c>
      <c r="E11" s="87">
        <f t="shared" si="1"/>
        <v>22085.531300000002</v>
      </c>
      <c r="F11" s="87">
        <f t="shared" si="2"/>
        <v>153533.417002</v>
      </c>
      <c r="G11" s="87">
        <f t="shared" si="3"/>
        <v>163277.03375199999</v>
      </c>
      <c r="H11" s="86">
        <f t="shared" si="4"/>
        <v>83.445256356036779</v>
      </c>
      <c r="I11" s="98"/>
      <c r="L11" s="248" t="s">
        <v>284</v>
      </c>
      <c r="M11" s="87">
        <v>129914.89</v>
      </c>
      <c r="N11" s="249"/>
      <c r="O11" s="250"/>
      <c r="S11" t="s">
        <v>481</v>
      </c>
      <c r="T11" s="84">
        <v>636.71</v>
      </c>
      <c r="U11" s="170">
        <f t="shared" si="5"/>
        <v>9.2649706521712259E-3</v>
      </c>
    </row>
    <row r="12" spans="1:21" x14ac:dyDescent="0.25">
      <c r="B12" s="294" t="s">
        <v>181</v>
      </c>
      <c r="C12" s="87">
        <v>126373.14</v>
      </c>
      <c r="D12" s="87">
        <f t="shared" si="0"/>
        <v>9326.3377319999963</v>
      </c>
      <c r="E12" s="87">
        <f t="shared" si="1"/>
        <v>21483.433800000003</v>
      </c>
      <c r="F12" s="87">
        <f t="shared" si="2"/>
        <v>149347.77685199998</v>
      </c>
      <c r="G12" s="87">
        <f t="shared" si="3"/>
        <v>158825.76235199999</v>
      </c>
      <c r="H12" s="86">
        <f t="shared" si="4"/>
        <v>81.170365181522499</v>
      </c>
      <c r="I12" s="98"/>
      <c r="L12" s="248" t="s">
        <v>285</v>
      </c>
      <c r="M12" s="87">
        <v>126373.14</v>
      </c>
      <c r="N12" s="249"/>
      <c r="O12" s="250"/>
      <c r="S12" t="s">
        <v>482</v>
      </c>
      <c r="T12" s="84">
        <f>SUM(T7:T11)</f>
        <v>17645.47</v>
      </c>
      <c r="U12" s="170">
        <f t="shared" si="5"/>
        <v>0.25676487206698151</v>
      </c>
    </row>
    <row r="13" spans="1:21" x14ac:dyDescent="0.25">
      <c r="B13" s="294" t="s">
        <v>182</v>
      </c>
      <c r="C13" s="87">
        <v>122827.79</v>
      </c>
      <c r="D13" s="87">
        <f t="shared" si="0"/>
        <v>9064.6909019999966</v>
      </c>
      <c r="E13" s="87">
        <f t="shared" si="1"/>
        <v>20880.724300000002</v>
      </c>
      <c r="F13" s="87">
        <f t="shared" si="2"/>
        <v>145157.88222199999</v>
      </c>
      <c r="G13" s="87">
        <f t="shared" si="3"/>
        <v>154369.96647199997</v>
      </c>
      <c r="H13" s="86">
        <f t="shared" si="4"/>
        <v>78.893161701445067</v>
      </c>
      <c r="I13" s="98"/>
      <c r="L13" s="248" t="s">
        <v>286</v>
      </c>
      <c r="M13" s="87">
        <v>122827.79</v>
      </c>
      <c r="N13" s="249"/>
      <c r="O13" s="250"/>
      <c r="S13" t="s">
        <v>483</v>
      </c>
      <c r="T13" s="84">
        <f>T6+T12</f>
        <v>86367.76</v>
      </c>
      <c r="U13" s="170">
        <f t="shared" si="5"/>
        <v>1.2567648720669815</v>
      </c>
    </row>
    <row r="14" spans="1:21" x14ac:dyDescent="0.25">
      <c r="B14" s="294" t="s">
        <v>183</v>
      </c>
      <c r="C14" s="87">
        <v>119287.08</v>
      </c>
      <c r="D14" s="87">
        <f t="shared" si="0"/>
        <v>8803.3865039999982</v>
      </c>
      <c r="E14" s="87">
        <f t="shared" si="1"/>
        <v>20278.803600000003</v>
      </c>
      <c r="F14" s="87">
        <f t="shared" si="2"/>
        <v>140973.47114400001</v>
      </c>
      <c r="G14" s="87">
        <f t="shared" si="3"/>
        <v>149920.002144</v>
      </c>
      <c r="H14" s="86">
        <f t="shared" si="4"/>
        <v>76.618938526315731</v>
      </c>
      <c r="I14" s="98"/>
      <c r="L14" s="248" t="s">
        <v>287</v>
      </c>
      <c r="M14" s="87">
        <v>119287.08</v>
      </c>
      <c r="N14" s="249"/>
      <c r="O14" s="250"/>
      <c r="T14" s="84"/>
    </row>
    <row r="15" spans="1:21" x14ac:dyDescent="0.25">
      <c r="B15" s="294" t="s">
        <v>184</v>
      </c>
      <c r="C15" s="87">
        <v>113789.19</v>
      </c>
      <c r="D15" s="87">
        <f t="shared" si="0"/>
        <v>8397.6422219999968</v>
      </c>
      <c r="E15" s="87">
        <f t="shared" si="1"/>
        <v>19344.162300000004</v>
      </c>
      <c r="F15" s="87">
        <f t="shared" si="2"/>
        <v>134476.06474199999</v>
      </c>
      <c r="G15" s="87">
        <f t="shared" si="3"/>
        <v>143010.25399199998</v>
      </c>
      <c r="H15" s="86">
        <f t="shared" si="4"/>
        <v>73.087604739501202</v>
      </c>
      <c r="I15" s="98"/>
      <c r="L15" s="248" t="s">
        <v>288</v>
      </c>
      <c r="M15" s="87">
        <v>113789.19</v>
      </c>
      <c r="N15" s="249"/>
      <c r="O15" s="250"/>
      <c r="S15" t="s">
        <v>185</v>
      </c>
    </row>
    <row r="16" spans="1:21" x14ac:dyDescent="0.25">
      <c r="B16" s="294" t="s">
        <v>185</v>
      </c>
      <c r="C16" s="87">
        <v>112196.19</v>
      </c>
      <c r="D16" s="87">
        <f t="shared" si="0"/>
        <v>8280.0788219999977</v>
      </c>
      <c r="E16" s="87">
        <f t="shared" si="1"/>
        <v>19073.352300000002</v>
      </c>
      <c r="F16" s="87">
        <f t="shared" si="2"/>
        <v>132593.45734200001</v>
      </c>
      <c r="G16" s="87">
        <f t="shared" si="3"/>
        <v>141008.171592</v>
      </c>
      <c r="H16" s="86">
        <f t="shared" si="4"/>
        <v>72.064409527811719</v>
      </c>
      <c r="I16" s="98"/>
      <c r="L16" s="248" t="s">
        <v>289</v>
      </c>
      <c r="M16" s="87">
        <v>112196.19</v>
      </c>
      <c r="N16" s="249"/>
      <c r="O16" s="250"/>
      <c r="S16" t="s">
        <v>477</v>
      </c>
      <c r="T16" s="84">
        <v>110382.02</v>
      </c>
    </row>
    <row r="17" spans="1:21" x14ac:dyDescent="0.25">
      <c r="B17" s="294" t="s">
        <v>186</v>
      </c>
      <c r="C17" s="87">
        <v>108647.09</v>
      </c>
      <c r="D17" s="87">
        <f>C17*(0.2438-0.17)</f>
        <v>8018.1552419999971</v>
      </c>
      <c r="E17" s="87">
        <f t="shared" si="1"/>
        <v>18470.005300000001</v>
      </c>
      <c r="F17" s="87">
        <f t="shared" si="2"/>
        <v>128399.130962</v>
      </c>
      <c r="G17" s="87">
        <f t="shared" si="3"/>
        <v>136547.66271199999</v>
      </c>
      <c r="H17" s="86">
        <f t="shared" si="4"/>
        <v>69.784797396106015</v>
      </c>
      <c r="I17" s="98"/>
      <c r="L17" s="248" t="s">
        <v>290</v>
      </c>
      <c r="M17" s="87">
        <v>108647.09</v>
      </c>
      <c r="N17" s="249"/>
      <c r="O17" s="250"/>
      <c r="S17" t="s">
        <v>478</v>
      </c>
      <c r="T17" s="84">
        <v>1434.97</v>
      </c>
      <c r="U17" s="170">
        <f>T17/$T$16</f>
        <v>1.3000033882329749E-2</v>
      </c>
    </row>
    <row r="18" spans="1:21" x14ac:dyDescent="0.25">
      <c r="B18" s="294" t="s">
        <v>187</v>
      </c>
      <c r="C18" s="87">
        <v>105106.79</v>
      </c>
      <c r="D18" s="87">
        <f t="shared" si="0"/>
        <v>7756.8811019999966</v>
      </c>
      <c r="E18" s="87">
        <f t="shared" si="1"/>
        <v>17868.154300000002</v>
      </c>
      <c r="F18" s="87">
        <f t="shared" si="2"/>
        <v>124215.204422</v>
      </c>
      <c r="G18" s="87">
        <f t="shared" si="3"/>
        <v>132098.21367199998</v>
      </c>
      <c r="H18" s="86">
        <f t="shared" si="4"/>
        <v>67.510837566888</v>
      </c>
      <c r="I18" s="98"/>
      <c r="L18" s="248" t="s">
        <v>291</v>
      </c>
      <c r="M18" s="87">
        <v>105106.79</v>
      </c>
      <c r="N18" s="249"/>
      <c r="O18" s="250"/>
      <c r="S18" t="s">
        <v>479</v>
      </c>
      <c r="T18" s="84">
        <v>1103.82</v>
      </c>
      <c r="U18" s="170">
        <f t="shared" ref="U18:U23" si="6">T18/$T$16</f>
        <v>9.9999981881107071E-3</v>
      </c>
    </row>
    <row r="19" spans="1:21" x14ac:dyDescent="0.25">
      <c r="B19" s="294" t="s">
        <v>188</v>
      </c>
      <c r="C19" s="87">
        <v>101557.95</v>
      </c>
      <c r="D19" s="87">
        <f t="shared" si="0"/>
        <v>7494.9767099999972</v>
      </c>
      <c r="E19" s="87">
        <f t="shared" si="1"/>
        <v>17264.851500000001</v>
      </c>
      <c r="F19" s="87">
        <f t="shared" si="2"/>
        <v>120021.18530999999</v>
      </c>
      <c r="G19" s="87">
        <f t="shared" si="3"/>
        <v>127638.03155999999</v>
      </c>
      <c r="H19" s="86">
        <f t="shared" si="4"/>
        <v>65.231392435028553</v>
      </c>
      <c r="I19" s="98"/>
      <c r="L19" s="248" t="s">
        <v>292</v>
      </c>
      <c r="M19" s="87">
        <v>101557.95</v>
      </c>
      <c r="N19" s="249"/>
      <c r="O19" s="250"/>
      <c r="S19" t="s">
        <v>480</v>
      </c>
      <c r="T19" s="84">
        <v>6015.82</v>
      </c>
      <c r="U19" s="170">
        <f t="shared" si="6"/>
        <v>5.4499999184649817E-2</v>
      </c>
    </row>
    <row r="20" spans="1:21" x14ac:dyDescent="0.25">
      <c r="B20" s="294" t="s">
        <v>189</v>
      </c>
      <c r="C20" s="87">
        <v>98014.85</v>
      </c>
      <c r="D20" s="87">
        <f t="shared" si="0"/>
        <v>7233.4959299999982</v>
      </c>
      <c r="E20" s="87">
        <f t="shared" si="1"/>
        <v>16662.524500000003</v>
      </c>
      <c r="F20" s="87">
        <f t="shared" si="2"/>
        <v>115833.94973000001</v>
      </c>
      <c r="G20" s="87">
        <f t="shared" si="3"/>
        <v>123185.06348</v>
      </c>
      <c r="H20" s="86">
        <f t="shared" si="4"/>
        <v>62.955634145928087</v>
      </c>
      <c r="I20" s="98"/>
      <c r="L20" s="248" t="s">
        <v>293</v>
      </c>
      <c r="M20" s="87">
        <v>98014.85</v>
      </c>
      <c r="N20" s="249"/>
      <c r="O20" s="250"/>
      <c r="S20" t="s">
        <v>169</v>
      </c>
      <c r="T20" s="84">
        <v>18764.939999999999</v>
      </c>
      <c r="U20" s="170">
        <f t="shared" si="6"/>
        <v>0.16999996919788202</v>
      </c>
    </row>
    <row r="21" spans="1:21" x14ac:dyDescent="0.25">
      <c r="B21" s="294" t="s">
        <v>190</v>
      </c>
      <c r="C21" s="87">
        <v>91130.05</v>
      </c>
      <c r="D21" s="87">
        <f t="shared" si="0"/>
        <v>6725.397689999998</v>
      </c>
      <c r="E21" s="87">
        <f t="shared" si="1"/>
        <v>15492.108500000002</v>
      </c>
      <c r="F21" s="87">
        <f t="shared" si="2"/>
        <v>107697.49309</v>
      </c>
      <c r="G21" s="87">
        <f t="shared" si="3"/>
        <v>114532.24683999999</v>
      </c>
      <c r="H21" s="86">
        <f t="shared" si="4"/>
        <v>58.533478217842848</v>
      </c>
      <c r="I21" s="98"/>
      <c r="L21" s="248" t="s">
        <v>294</v>
      </c>
      <c r="M21" s="87">
        <v>91130.05</v>
      </c>
      <c r="N21" s="249"/>
      <c r="O21" s="250"/>
      <c r="S21" t="s">
        <v>481</v>
      </c>
      <c r="T21" s="84">
        <v>1022</v>
      </c>
      <c r="U21" s="170">
        <f t="shared" si="6"/>
        <v>9.2587542790030473E-3</v>
      </c>
    </row>
    <row r="22" spans="1:21" x14ac:dyDescent="0.25">
      <c r="B22" s="294" t="s">
        <v>191</v>
      </c>
      <c r="C22" s="87">
        <v>89817.72</v>
      </c>
      <c r="D22" s="87">
        <f t="shared" si="0"/>
        <v>6628.5477359999977</v>
      </c>
      <c r="E22" s="87">
        <f t="shared" si="1"/>
        <v>15269.012400000001</v>
      </c>
      <c r="F22" s="87">
        <f t="shared" si="2"/>
        <v>106146.581496</v>
      </c>
      <c r="G22" s="87">
        <f t="shared" si="3"/>
        <v>112882.910496</v>
      </c>
      <c r="H22" s="86">
        <f t="shared" si="4"/>
        <v>57.690559340155168</v>
      </c>
      <c r="I22" s="98"/>
      <c r="L22" s="248" t="s">
        <v>295</v>
      </c>
      <c r="M22" s="87">
        <v>89817.72</v>
      </c>
      <c r="N22" s="249"/>
      <c r="O22" s="250"/>
      <c r="S22" t="s">
        <v>482</v>
      </c>
      <c r="T22" s="84">
        <f>SUM(T17:T21)</f>
        <v>28341.55</v>
      </c>
      <c r="U22" s="170">
        <f t="shared" si="6"/>
        <v>0.25675875473197535</v>
      </c>
    </row>
    <row r="23" spans="1:21" x14ac:dyDescent="0.25">
      <c r="B23" s="294" t="s">
        <v>192</v>
      </c>
      <c r="C23" s="87">
        <v>86747.38</v>
      </c>
      <c r="D23" s="87">
        <f t="shared" si="0"/>
        <v>6401.9566439999981</v>
      </c>
      <c r="E23" s="87">
        <f t="shared" si="1"/>
        <v>14747.054600000001</v>
      </c>
      <c r="F23" s="87">
        <f t="shared" si="2"/>
        <v>102518.053684</v>
      </c>
      <c r="G23" s="87">
        <f t="shared" si="3"/>
        <v>109024.10718399999</v>
      </c>
      <c r="H23" s="86">
        <f t="shared" si="4"/>
        <v>55.718458156063086</v>
      </c>
      <c r="I23" s="98"/>
      <c r="L23" s="248" t="s">
        <v>296</v>
      </c>
      <c r="M23" s="87">
        <v>86747.38</v>
      </c>
      <c r="N23" s="249"/>
      <c r="O23" s="250"/>
      <c r="S23" t="s">
        <v>483</v>
      </c>
      <c r="T23" s="84">
        <f>T16+T22</f>
        <v>138723.57</v>
      </c>
      <c r="U23" s="170">
        <f t="shared" si="6"/>
        <v>1.2567587547319754</v>
      </c>
    </row>
    <row r="24" spans="1:21" x14ac:dyDescent="0.25">
      <c r="B24" s="294" t="s">
        <v>193</v>
      </c>
      <c r="C24" s="87">
        <v>83675.25</v>
      </c>
      <c r="D24" s="87">
        <f t="shared" si="0"/>
        <v>6175.2334499999979</v>
      </c>
      <c r="E24" s="87">
        <f t="shared" si="1"/>
        <v>14224.792500000001</v>
      </c>
      <c r="F24" s="87">
        <f t="shared" si="2"/>
        <v>98887.410449999996</v>
      </c>
      <c r="G24" s="87">
        <f t="shared" si="3"/>
        <v>105163.0542</v>
      </c>
      <c r="H24" s="86">
        <f t="shared" si="4"/>
        <v>53.745207242260427</v>
      </c>
      <c r="I24" s="98"/>
      <c r="L24" s="248" t="s">
        <v>297</v>
      </c>
      <c r="M24" s="87">
        <v>83675.25</v>
      </c>
      <c r="N24" s="249"/>
      <c r="O24" s="250"/>
      <c r="T24" s="84"/>
    </row>
    <row r="25" spans="1:21" x14ac:dyDescent="0.25">
      <c r="B25" s="294" t="s">
        <v>194</v>
      </c>
      <c r="C25" s="87">
        <v>80602.91</v>
      </c>
      <c r="D25" s="87">
        <f t="shared" si="0"/>
        <v>5948.494757999998</v>
      </c>
      <c r="E25" s="87">
        <f t="shared" si="1"/>
        <v>13702.494700000001</v>
      </c>
      <c r="F25" s="87">
        <f t="shared" si="2"/>
        <v>95256.519037999999</v>
      </c>
      <c r="G25" s="87">
        <f t="shared" si="3"/>
        <v>101301.737288</v>
      </c>
      <c r="H25" s="86">
        <f t="shared" si="4"/>
        <v>51.771821443966594</v>
      </c>
      <c r="I25" s="98"/>
      <c r="L25" s="248" t="s">
        <v>298</v>
      </c>
      <c r="M25" s="87">
        <v>80602.91</v>
      </c>
      <c r="N25" s="249"/>
      <c r="O25" s="250"/>
      <c r="T25" s="84"/>
    </row>
    <row r="26" spans="1:21" x14ac:dyDescent="0.25">
      <c r="B26" s="294" t="s">
        <v>195</v>
      </c>
      <c r="C26" s="87">
        <v>77415.64</v>
      </c>
      <c r="D26" s="87">
        <f t="shared" si="0"/>
        <v>5713.2742319999979</v>
      </c>
      <c r="E26" s="87">
        <f t="shared" si="1"/>
        <v>13160.658800000001</v>
      </c>
      <c r="F26" s="87">
        <f t="shared" si="2"/>
        <v>91489.803352000003</v>
      </c>
      <c r="G26" s="87">
        <f t="shared" si="3"/>
        <v>97295.976351999998</v>
      </c>
      <c r="H26" s="86">
        <f t="shared" si="4"/>
        <v>49.72461529056951</v>
      </c>
      <c r="I26" s="98"/>
      <c r="L26" s="248" t="s">
        <v>299</v>
      </c>
      <c r="M26" s="87">
        <v>77415.64</v>
      </c>
      <c r="N26" s="249"/>
      <c r="O26" s="250"/>
      <c r="T26" s="84"/>
    </row>
    <row r="27" spans="1:21" x14ac:dyDescent="0.25">
      <c r="B27" s="294" t="s">
        <v>196</v>
      </c>
      <c r="C27" s="87">
        <v>73632.070000000007</v>
      </c>
      <c r="D27" s="87">
        <f t="shared" si="0"/>
        <v>5434.0467659999986</v>
      </c>
      <c r="E27" s="87">
        <f t="shared" si="1"/>
        <v>12517.451900000002</v>
      </c>
      <c r="F27" s="87">
        <f t="shared" si="2"/>
        <v>87018.380325999999</v>
      </c>
      <c r="G27" s="87">
        <f t="shared" si="3"/>
        <v>92540.785576000009</v>
      </c>
      <c r="H27" s="86">
        <f t="shared" si="4"/>
        <v>47.294401412922305</v>
      </c>
      <c r="I27" s="98"/>
      <c r="L27" s="248" t="s">
        <v>300</v>
      </c>
      <c r="M27" s="87">
        <v>73632.070000000007</v>
      </c>
      <c r="N27" s="249"/>
      <c r="O27" s="250"/>
      <c r="T27" s="84"/>
    </row>
    <row r="28" spans="1:21" x14ac:dyDescent="0.25">
      <c r="B28" s="294" t="s">
        <v>197</v>
      </c>
      <c r="C28" s="87">
        <v>69852.62</v>
      </c>
      <c r="D28" s="87">
        <f t="shared" si="0"/>
        <v>5155.1233559999982</v>
      </c>
      <c r="E28" s="87">
        <f>C28*0.17</f>
        <v>11874.945400000001</v>
      </c>
      <c r="F28" s="87">
        <f t="shared" si="2"/>
        <v>82551.826315999991</v>
      </c>
      <c r="G28" s="87">
        <f t="shared" si="3"/>
        <v>87790.772815999982</v>
      </c>
      <c r="H28" s="86">
        <f t="shared" si="4"/>
        <v>44.866833840530681</v>
      </c>
      <c r="I28" s="98"/>
      <c r="L28" s="248" t="s">
        <v>301</v>
      </c>
      <c r="M28" s="87">
        <v>69852.62</v>
      </c>
      <c r="N28" s="249"/>
      <c r="O28" s="250"/>
      <c r="T28" s="84"/>
    </row>
    <row r="29" spans="1:21" x14ac:dyDescent="0.25">
      <c r="T29" s="84"/>
    </row>
    <row r="30" spans="1:21" hidden="1" x14ac:dyDescent="0.25">
      <c r="A30" s="2" t="s">
        <v>198</v>
      </c>
      <c r="B30" s="295" t="s">
        <v>197</v>
      </c>
      <c r="C30" s="257">
        <v>35.23470443592619</v>
      </c>
      <c r="D30" s="257">
        <v>2.4235598404089309</v>
      </c>
      <c r="E30" s="257">
        <v>3.3043404949782698</v>
      </c>
      <c r="F30" s="257">
        <v>40.962604771313387</v>
      </c>
      <c r="G30" s="81"/>
      <c r="H30" s="81"/>
      <c r="I30" s="81"/>
    </row>
    <row r="31" spans="1:21" hidden="1" x14ac:dyDescent="0.25">
      <c r="A31" s="2"/>
      <c r="B31" s="295" t="s">
        <v>196</v>
      </c>
      <c r="C31" s="257">
        <v>37.155339538408761</v>
      </c>
      <c r="D31" s="257">
        <v>2.5556674932749024</v>
      </c>
      <c r="E31" s="257">
        <v>3.4844592854381355</v>
      </c>
      <c r="F31" s="257">
        <v>43.195466317121799</v>
      </c>
      <c r="G31" s="81"/>
      <c r="H31" s="81"/>
      <c r="I31" s="81"/>
    </row>
    <row r="32" spans="1:21" hidden="1" x14ac:dyDescent="0.25">
      <c r="A32" s="2"/>
      <c r="B32" s="295" t="s">
        <v>195</v>
      </c>
      <c r="C32" s="257">
        <v>39.078034678829106</v>
      </c>
      <c r="D32" s="257">
        <v>2.6879168423831339</v>
      </c>
      <c r="E32" s="257">
        <v>3.6647712680047029</v>
      </c>
      <c r="F32" s="257">
        <v>45.430722789216937</v>
      </c>
      <c r="G32" s="81"/>
      <c r="H32" s="81"/>
      <c r="I32" s="81"/>
    </row>
    <row r="33" spans="1:9" hidden="1" x14ac:dyDescent="0.25">
      <c r="A33" s="2"/>
      <c r="B33" s="295" t="s">
        <v>194</v>
      </c>
      <c r="C33" s="257">
        <v>40.698049787311156</v>
      </c>
      <c r="D33" s="257">
        <v>2.7993468549411382</v>
      </c>
      <c r="E33" s="257">
        <v>3.8166976602118057</v>
      </c>
      <c r="F33" s="257">
        <v>47.314094302464099</v>
      </c>
      <c r="G33" s="81"/>
      <c r="H33" s="81"/>
      <c r="I33" s="81"/>
    </row>
    <row r="34" spans="1:9" hidden="1" x14ac:dyDescent="0.25">
      <c r="A34" s="2"/>
      <c r="B34" s="295" t="s">
        <v>193</v>
      </c>
      <c r="C34" s="257">
        <v>42.259266374973841</v>
      </c>
      <c r="D34" s="257">
        <v>2.9067325102095158</v>
      </c>
      <c r="E34" s="257">
        <v>3.9631098772186721</v>
      </c>
      <c r="F34" s="257">
        <v>49.129108762402034</v>
      </c>
      <c r="G34" s="81"/>
      <c r="H34" s="81"/>
      <c r="I34" s="81"/>
    </row>
    <row r="35" spans="1:9" hidden="1" x14ac:dyDescent="0.25">
      <c r="A35" s="2"/>
      <c r="B35" s="295" t="s">
        <v>192</v>
      </c>
      <c r="C35" s="257">
        <v>43.82048296263654</v>
      </c>
      <c r="D35" s="257">
        <v>3.0141181654778944</v>
      </c>
      <c r="E35" s="257">
        <v>4.1095220942255386</v>
      </c>
      <c r="F35" s="257">
        <v>50.944123222339968</v>
      </c>
      <c r="G35" s="81"/>
      <c r="H35" s="81"/>
      <c r="I35" s="81"/>
    </row>
    <row r="36" spans="1:9" hidden="1" x14ac:dyDescent="0.25">
      <c r="A36" s="2"/>
      <c r="B36" s="295" t="s">
        <v>191</v>
      </c>
      <c r="C36" s="257">
        <v>45.380717180050603</v>
      </c>
      <c r="D36" s="257">
        <v>3.121436250062168</v>
      </c>
      <c r="E36" s="257">
        <v>4.255842183716493</v>
      </c>
      <c r="F36" s="257">
        <v>52.757995613829266</v>
      </c>
      <c r="G36" s="81"/>
      <c r="H36" s="81"/>
      <c r="I36" s="81"/>
    </row>
    <row r="37" spans="1:9" hidden="1" x14ac:dyDescent="0.25">
      <c r="A37" s="2"/>
      <c r="B37" s="295" t="s">
        <v>190</v>
      </c>
      <c r="C37" s="257">
        <v>45.634208371913623</v>
      </c>
      <c r="D37" s="257">
        <v>3.1388722150385102</v>
      </c>
      <c r="E37" s="257">
        <v>4.2796148028941694</v>
      </c>
      <c r="F37" s="257">
        <v>53.052695389846299</v>
      </c>
      <c r="G37" s="81"/>
      <c r="H37" s="81"/>
      <c r="I37" s="81"/>
    </row>
    <row r="38" spans="1:9" hidden="1" x14ac:dyDescent="0.25">
      <c r="A38" s="2"/>
      <c r="B38" s="295" t="s">
        <v>189</v>
      </c>
      <c r="C38" s="257">
        <v>49.546043439480364</v>
      </c>
      <c r="D38" s="257">
        <v>3.407941206075412</v>
      </c>
      <c r="E38" s="257">
        <v>4.6464700165356705</v>
      </c>
      <c r="F38" s="257">
        <v>57.600454662091444</v>
      </c>
      <c r="G38" s="81"/>
      <c r="H38" s="81"/>
      <c r="I38" s="81"/>
    </row>
    <row r="39" spans="1:9" hidden="1" x14ac:dyDescent="0.25">
      <c r="A39" s="2"/>
      <c r="B39" s="295" t="s">
        <v>188</v>
      </c>
      <c r="C39" s="257">
        <v>51.346640211047301</v>
      </c>
      <c r="D39" s="257">
        <v>3.5317922243882016</v>
      </c>
      <c r="E39" s="257">
        <v>4.8153315104141106</v>
      </c>
      <c r="F39" s="257">
        <v>59.693763945849604</v>
      </c>
      <c r="G39" s="81"/>
      <c r="H39" s="81"/>
      <c r="I39" s="81"/>
    </row>
    <row r="40" spans="1:9" hidden="1" x14ac:dyDescent="0.25">
      <c r="A40" s="2"/>
      <c r="B40" s="295" t="s">
        <v>187</v>
      </c>
      <c r="C40" s="257">
        <v>53.150088795919565</v>
      </c>
      <c r="D40" s="257">
        <v>3.6558393998792549</v>
      </c>
      <c r="E40" s="257">
        <v>4.9844604497654075</v>
      </c>
      <c r="F40" s="257">
        <v>61.790388645564228</v>
      </c>
      <c r="G40" s="81"/>
      <c r="H40" s="81"/>
      <c r="I40" s="81"/>
    </row>
    <row r="41" spans="1:9" hidden="1" x14ac:dyDescent="0.25">
      <c r="A41" s="2"/>
      <c r="B41" s="295" t="s">
        <v>186</v>
      </c>
      <c r="C41" s="257">
        <v>54.949197314192013</v>
      </c>
      <c r="D41" s="257">
        <v>3.7795880511940911</v>
      </c>
      <c r="E41" s="257">
        <v>5.153182373986418</v>
      </c>
      <c r="F41" s="257">
        <v>63.88196773937252</v>
      </c>
      <c r="G41" s="81"/>
      <c r="H41" s="81"/>
      <c r="I41" s="81"/>
    </row>
    <row r="42" spans="1:9" hidden="1" x14ac:dyDescent="0.25">
      <c r="A42" s="2"/>
      <c r="B42" s="295" t="s">
        <v>185</v>
      </c>
      <c r="C42" s="257">
        <v>56.7527558944264</v>
      </c>
      <c r="D42" s="257">
        <v>3.903642792530992</v>
      </c>
      <c r="E42" s="257">
        <v>5.322321628796157</v>
      </c>
      <c r="F42" s="257">
        <v>65.978720315753549</v>
      </c>
      <c r="G42" s="81"/>
      <c r="H42" s="81"/>
      <c r="I42" s="81"/>
    </row>
    <row r="43" spans="1:9" hidden="1" x14ac:dyDescent="0.25">
      <c r="A43" s="2"/>
      <c r="B43" s="295" t="s">
        <v>184</v>
      </c>
      <c r="C43" s="257">
        <v>57.045986118998776</v>
      </c>
      <c r="D43" s="257">
        <v>3.9238121399867096</v>
      </c>
      <c r="E43" s="257">
        <v>5.3498210081983046</v>
      </c>
      <c r="F43" s="257">
        <v>66.319619267183796</v>
      </c>
      <c r="G43" s="81"/>
      <c r="H43" s="81"/>
      <c r="I43" s="81"/>
    </row>
    <row r="44" spans="1:9" hidden="1" x14ac:dyDescent="0.25">
      <c r="A44" s="2"/>
      <c r="B44" s="295" t="s">
        <v>183</v>
      </c>
      <c r="C44" s="257">
        <v>60.356009475498084</v>
      </c>
      <c r="D44" s="257">
        <v>4.1514865253988331</v>
      </c>
      <c r="E44" s="257">
        <v>5.6602378086597414</v>
      </c>
      <c r="F44" s="257">
        <v>70.167733809556665</v>
      </c>
      <c r="G44" s="81"/>
      <c r="H44" s="81"/>
      <c r="I44" s="81"/>
    </row>
    <row r="45" spans="1:9" hidden="1" x14ac:dyDescent="0.25">
      <c r="A45" s="2"/>
      <c r="B45" s="295" t="s">
        <v>182</v>
      </c>
      <c r="C45" s="257">
        <v>62.155308588651643</v>
      </c>
      <c r="D45" s="257">
        <v>4.275248286461772</v>
      </c>
      <c r="E45" s="257">
        <v>5.8289776070305086</v>
      </c>
      <c r="F45" s="257">
        <v>72.25953448214392</v>
      </c>
      <c r="G45" s="81"/>
      <c r="H45" s="81"/>
      <c r="I45" s="81"/>
    </row>
    <row r="46" spans="1:9" hidden="1" x14ac:dyDescent="0.25">
      <c r="A46" s="2"/>
      <c r="B46" s="295" t="s">
        <v>181</v>
      </c>
      <c r="C46" s="257">
        <v>63.956902428388752</v>
      </c>
      <c r="D46" s="257">
        <v>4.3991678864304609</v>
      </c>
      <c r="E46" s="257">
        <v>5.9979326068084218</v>
      </c>
      <c r="F46" s="257">
        <v>74.354002921627639</v>
      </c>
      <c r="G46" s="81"/>
      <c r="H46" s="81"/>
      <c r="I46" s="81"/>
    </row>
    <row r="47" spans="1:9" hidden="1" x14ac:dyDescent="0.25">
      <c r="A47" s="2"/>
      <c r="B47" s="295" t="s">
        <v>180</v>
      </c>
      <c r="C47" s="257">
        <v>65.756707424588186</v>
      </c>
      <c r="D47" s="257">
        <v>4.5229644438072487</v>
      </c>
      <c r="E47" s="257">
        <v>6.1667198473207083</v>
      </c>
      <c r="F47" s="257">
        <v>76.446391715716132</v>
      </c>
      <c r="G47" s="81"/>
      <c r="H47" s="81"/>
      <c r="I47" s="81"/>
    </row>
    <row r="48" spans="1:9" hidden="1" x14ac:dyDescent="0.25">
      <c r="A48" s="2"/>
      <c r="B48" s="295" t="s">
        <v>179</v>
      </c>
      <c r="C48" s="257">
        <v>67.559474229455049</v>
      </c>
      <c r="D48" s="257">
        <v>4.6469647242081482</v>
      </c>
      <c r="E48" s="257">
        <v>6.3357848487642929</v>
      </c>
      <c r="F48" s="257">
        <v>78.542223802427486</v>
      </c>
      <c r="G48" s="81"/>
      <c r="H48" s="81"/>
      <c r="I48" s="81"/>
    </row>
    <row r="49" spans="1:15" hidden="1" x14ac:dyDescent="0.25">
      <c r="A49" s="2"/>
      <c r="B49" s="295" t="s">
        <v>178</v>
      </c>
      <c r="C49" s="257">
        <v>67.852513859146342</v>
      </c>
      <c r="D49" s="257">
        <v>4.6671209619157628</v>
      </c>
      <c r="E49" s="257">
        <v>6.3632663540166847</v>
      </c>
      <c r="F49" s="257">
        <v>78.882901175078786</v>
      </c>
      <c r="G49" s="81"/>
      <c r="H49" s="81"/>
      <c r="I49" s="81"/>
    </row>
    <row r="50" spans="1:15" hidden="1" x14ac:dyDescent="0.25">
      <c r="A50" s="2"/>
      <c r="B50" s="295" t="s">
        <v>177</v>
      </c>
      <c r="C50" s="257">
        <v>72.865630007608345</v>
      </c>
      <c r="D50" s="257">
        <v>5.0119397185144425</v>
      </c>
      <c r="E50" s="257">
        <v>6.8334006423719575</v>
      </c>
      <c r="F50" s="257">
        <v>84.710970368494742</v>
      </c>
      <c r="G50" s="81"/>
      <c r="H50" s="81"/>
      <c r="I50" s="81"/>
    </row>
    <row r="51" spans="1:15" hidden="1" x14ac:dyDescent="0.25">
      <c r="A51" s="2"/>
      <c r="B51" s="295" t="s">
        <v>176</v>
      </c>
      <c r="C51" s="257">
        <v>75.26619844302914</v>
      </c>
      <c r="D51" s="257">
        <v>5.1770587779014443</v>
      </c>
      <c r="E51" s="257">
        <v>7.0585279882406402</v>
      </c>
      <c r="F51" s="257">
        <v>87.501785209171217</v>
      </c>
      <c r="G51" s="81"/>
      <c r="H51" s="81"/>
      <c r="I51" s="81"/>
    </row>
    <row r="52" spans="1:15" hidden="1" x14ac:dyDescent="0.25">
      <c r="A52" s="2"/>
      <c r="B52" s="295" t="s">
        <v>175</v>
      </c>
      <c r="C52" s="257">
        <v>77.668636321506639</v>
      </c>
      <c r="D52" s="257">
        <v>5.3423064237826052</v>
      </c>
      <c r="E52" s="257">
        <v>7.2838306520662703</v>
      </c>
      <c r="F52" s="257">
        <v>90.294773397355527</v>
      </c>
      <c r="G52" s="81"/>
      <c r="H52" s="81"/>
      <c r="I52" s="81"/>
    </row>
    <row r="53" spans="1:15" hidden="1" x14ac:dyDescent="0.25">
      <c r="A53" s="2"/>
      <c r="B53" s="295" t="s">
        <v>174</v>
      </c>
      <c r="C53" s="257">
        <v>78.059069935440036</v>
      </c>
      <c r="D53" s="257">
        <v>5.3691617427706051</v>
      </c>
      <c r="E53" s="257">
        <v>7.3204458478448204</v>
      </c>
      <c r="F53" s="257">
        <v>90.748677526055445</v>
      </c>
      <c r="G53" s="81"/>
      <c r="H53" s="81"/>
      <c r="I53" s="81"/>
    </row>
    <row r="54" spans="1:15" hidden="1" x14ac:dyDescent="0.25">
      <c r="A54" s="2"/>
      <c r="B54" s="295" t="s">
        <v>173</v>
      </c>
      <c r="C54" s="257">
        <v>91.270762674086697</v>
      </c>
      <c r="D54" s="257">
        <v>6.2779057909414373</v>
      </c>
      <c r="E54" s="257">
        <v>8.5594496091196799</v>
      </c>
      <c r="F54" s="257">
        <v>106.10811807414781</v>
      </c>
      <c r="G54" s="81"/>
      <c r="H54" s="81"/>
      <c r="I54" s="81"/>
    </row>
    <row r="55" spans="1:15" x14ac:dyDescent="0.25">
      <c r="C55" s="81"/>
      <c r="D55" s="81"/>
      <c r="E55" s="81"/>
      <c r="F55" s="81"/>
      <c r="G55" s="81"/>
      <c r="H55" s="81"/>
      <c r="I55" s="81"/>
      <c r="O55" s="80"/>
    </row>
    <row r="56" spans="1:15" s="35" customFormat="1" ht="30" x14ac:dyDescent="0.25">
      <c r="A56" s="298" t="s">
        <v>172</v>
      </c>
      <c r="B56" s="299"/>
      <c r="C56" s="300"/>
      <c r="D56" s="300"/>
      <c r="E56" s="300"/>
      <c r="F56" s="258" t="s">
        <v>464</v>
      </c>
      <c r="G56" s="258" t="s">
        <v>60</v>
      </c>
      <c r="I56" s="258" t="s">
        <v>59</v>
      </c>
      <c r="J56" s="301"/>
    </row>
    <row r="57" spans="1:15" ht="64.5" customHeight="1" x14ac:dyDescent="0.25">
      <c r="A57" s="258" t="s">
        <v>463</v>
      </c>
      <c r="B57" s="293" t="s">
        <v>201</v>
      </c>
      <c r="C57" s="258" t="s">
        <v>53</v>
      </c>
      <c r="D57" s="258" t="s">
        <v>170</v>
      </c>
      <c r="E57" s="292" t="s">
        <v>169</v>
      </c>
      <c r="F57" s="258" t="s">
        <v>168</v>
      </c>
      <c r="G57" s="258" t="s">
        <v>167</v>
      </c>
      <c r="H57" s="258" t="s">
        <v>166</v>
      </c>
      <c r="I57" s="258" t="s">
        <v>165</v>
      </c>
      <c r="J57" s="258" t="s">
        <v>461</v>
      </c>
    </row>
    <row r="58" spans="1:15" x14ac:dyDescent="0.25">
      <c r="B58" s="294">
        <v>4.0999999999999996</v>
      </c>
      <c r="C58" s="87">
        <v>61893.4</v>
      </c>
      <c r="D58" s="87">
        <f>C58*(0.2438-0.17)</f>
        <v>4567.7329199999986</v>
      </c>
      <c r="E58" s="87">
        <f>C58*0.17</f>
        <v>10521.878000000001</v>
      </c>
      <c r="F58" s="87">
        <f>C58*1.1818</f>
        <v>73145.620119999992</v>
      </c>
      <c r="G58" s="87">
        <f>C58*1.2568</f>
        <v>77787.625119999997</v>
      </c>
      <c r="H58" s="86">
        <f>G58/52.178571/35</f>
        <v>42.594182482635311</v>
      </c>
      <c r="I58" s="86">
        <f>H58*1.267551</f>
        <v>53.990298600046877</v>
      </c>
      <c r="J58" s="307"/>
      <c r="K58" s="170"/>
    </row>
    <row r="59" spans="1:15" x14ac:dyDescent="0.25">
      <c r="B59" s="294">
        <v>4.2</v>
      </c>
      <c r="C59" s="87">
        <v>63779.46</v>
      </c>
      <c r="D59" s="87">
        <f t="shared" ref="D59:D84" si="7">C59*(0.2438-0.17)</f>
        <v>4706.9241479999982</v>
      </c>
      <c r="E59" s="87">
        <f t="shared" ref="E59:E84" si="8">C59*0.17</f>
        <v>10842.5082</v>
      </c>
      <c r="F59" s="87">
        <f t="shared" ref="F59:F109" si="9">C59*1.1818</f>
        <v>75374.565827999992</v>
      </c>
      <c r="G59" s="87">
        <f t="shared" ref="G59:G84" si="10">C59*1.2568</f>
        <v>80158.025327999989</v>
      </c>
      <c r="H59" s="86">
        <f t="shared" ref="H59:H87" si="11">G59/52.178571/35</f>
        <v>43.892142908354352</v>
      </c>
      <c r="I59" s="86">
        <f t="shared" ref="I59:I84" si="12">H59*1.267551</f>
        <v>55.635529635627471</v>
      </c>
      <c r="J59" s="2"/>
    </row>
    <row r="60" spans="1:15" x14ac:dyDescent="0.25">
      <c r="B60" s="294">
        <v>4.3</v>
      </c>
      <c r="C60" s="87">
        <v>65572.23</v>
      </c>
      <c r="D60" s="87">
        <f t="shared" si="7"/>
        <v>4839.2305739999983</v>
      </c>
      <c r="E60" s="87">
        <f t="shared" si="8"/>
        <v>11147.2791</v>
      </c>
      <c r="F60" s="87">
        <f t="shared" si="9"/>
        <v>77493.261413999993</v>
      </c>
      <c r="G60" s="87">
        <f t="shared" si="10"/>
        <v>82411.178663999992</v>
      </c>
      <c r="H60" s="86">
        <f t="shared" si="11"/>
        <v>45.12590244538729</v>
      </c>
      <c r="I60" s="86">
        <f t="shared" si="12"/>
        <v>57.199382770553107</v>
      </c>
      <c r="J60" s="2"/>
    </row>
    <row r="61" spans="1:15" x14ac:dyDescent="0.25">
      <c r="B61" s="294">
        <v>4.4000000000000004</v>
      </c>
      <c r="C61" s="87">
        <v>66221.850000000006</v>
      </c>
      <c r="D61" s="87">
        <f t="shared" si="7"/>
        <v>4887.1725299999989</v>
      </c>
      <c r="E61" s="87">
        <f t="shared" si="8"/>
        <v>11257.714500000002</v>
      </c>
      <c r="F61" s="87">
        <f t="shared" si="9"/>
        <v>78260.982329999999</v>
      </c>
      <c r="G61" s="87">
        <f t="shared" si="10"/>
        <v>83227.621079999997</v>
      </c>
      <c r="H61" s="86">
        <f t="shared" si="11"/>
        <v>45.572961951317964</v>
      </c>
      <c r="I61" s="86">
        <f t="shared" si="12"/>
        <v>57.766053494355042</v>
      </c>
      <c r="J61" s="2"/>
    </row>
    <row r="62" spans="1:15" x14ac:dyDescent="0.25">
      <c r="B62" s="294">
        <v>5.0999999999999996</v>
      </c>
      <c r="C62" s="87">
        <v>69560.63</v>
      </c>
      <c r="D62" s="87">
        <f t="shared" si="7"/>
        <v>5133.5744939999986</v>
      </c>
      <c r="E62" s="87">
        <f t="shared" si="8"/>
        <v>11825.307100000002</v>
      </c>
      <c r="F62" s="87">
        <f t="shared" si="9"/>
        <v>82206.752533999999</v>
      </c>
      <c r="G62" s="87">
        <f t="shared" si="10"/>
        <v>87423.799784000003</v>
      </c>
      <c r="H62" s="86">
        <f t="shared" si="11"/>
        <v>47.870664203728936</v>
      </c>
      <c r="I62" s="86">
        <f t="shared" si="12"/>
        <v>60.678508282100822</v>
      </c>
      <c r="J62" s="2"/>
    </row>
    <row r="63" spans="1:15" x14ac:dyDescent="0.25">
      <c r="B63" s="294">
        <v>5.2</v>
      </c>
      <c r="C63" s="87">
        <v>71663.360000000001</v>
      </c>
      <c r="D63" s="87">
        <f t="shared" si="7"/>
        <v>5288.7559679999986</v>
      </c>
      <c r="E63" s="87">
        <f t="shared" si="8"/>
        <v>12182.771200000001</v>
      </c>
      <c r="F63" s="87">
        <f t="shared" si="9"/>
        <v>84691.758847999998</v>
      </c>
      <c r="G63" s="87">
        <f t="shared" si="10"/>
        <v>90066.510847999991</v>
      </c>
      <c r="H63" s="86">
        <f t="shared" si="11"/>
        <v>49.317733928961538</v>
      </c>
      <c r="I63" s="86">
        <f t="shared" si="12"/>
        <v>62.512742959389129</v>
      </c>
      <c r="J63" s="2"/>
    </row>
    <row r="64" spans="1:15" x14ac:dyDescent="0.25">
      <c r="B64" s="294">
        <v>5.3</v>
      </c>
      <c r="C64" s="87">
        <v>73767.73</v>
      </c>
      <c r="D64" s="87">
        <f t="shared" si="7"/>
        <v>5444.0584739999977</v>
      </c>
      <c r="E64" s="87">
        <f t="shared" si="8"/>
        <v>12540.5141</v>
      </c>
      <c r="F64" s="87">
        <f t="shared" si="9"/>
        <v>87178.703313999998</v>
      </c>
      <c r="G64" s="87">
        <f t="shared" si="10"/>
        <v>92711.283063999988</v>
      </c>
      <c r="H64" s="86">
        <f t="shared" si="11"/>
        <v>50.765932279528528</v>
      </c>
      <c r="I64" s="86">
        <f t="shared" si="12"/>
        <v>64.348408226848676</v>
      </c>
      <c r="J64" s="2"/>
    </row>
    <row r="65" spans="2:10" x14ac:dyDescent="0.25">
      <c r="B65" s="294">
        <v>5.4</v>
      </c>
      <c r="C65" s="87">
        <v>74635.679999999993</v>
      </c>
      <c r="D65" s="87">
        <f t="shared" si="7"/>
        <v>5508.113183999998</v>
      </c>
      <c r="E65" s="87">
        <f t="shared" si="8"/>
        <v>12688.0656</v>
      </c>
      <c r="F65" s="87">
        <f t="shared" si="9"/>
        <v>88204.446623999989</v>
      </c>
      <c r="G65" s="87">
        <f t="shared" si="10"/>
        <v>93802.122623999981</v>
      </c>
      <c r="H65" s="86">
        <f t="shared" si="11"/>
        <v>51.363243474030739</v>
      </c>
      <c r="I65" s="86">
        <f t="shared" si="12"/>
        <v>65.10553062875114</v>
      </c>
      <c r="J65" s="2"/>
    </row>
    <row r="66" spans="2:10" x14ac:dyDescent="0.25">
      <c r="B66" s="294">
        <v>6.1</v>
      </c>
      <c r="C66" s="87">
        <v>77970.679999999993</v>
      </c>
      <c r="D66" s="87">
        <f t="shared" si="7"/>
        <v>5754.2361839999976</v>
      </c>
      <c r="E66" s="87">
        <f t="shared" si="8"/>
        <v>13255.015600000001</v>
      </c>
      <c r="F66" s="87">
        <f t="shared" si="9"/>
        <v>92145.749623999989</v>
      </c>
      <c r="G66" s="87">
        <f t="shared" si="10"/>
        <v>97993.550623999981</v>
      </c>
      <c r="H66" s="86">
        <f t="shared" si="11"/>
        <v>53.658344382683175</v>
      </c>
      <c r="I66" s="86">
        <f t="shared" si="12"/>
        <v>68.014688080614448</v>
      </c>
      <c r="J66" s="2"/>
    </row>
    <row r="67" spans="2:10" x14ac:dyDescent="0.25">
      <c r="B67" s="294">
        <v>6.2</v>
      </c>
      <c r="C67" s="87">
        <v>80072.36</v>
      </c>
      <c r="D67" s="87">
        <f t="shared" si="7"/>
        <v>5909.3401679999979</v>
      </c>
      <c r="E67" s="87">
        <f t="shared" si="8"/>
        <v>13612.301200000002</v>
      </c>
      <c r="F67" s="87">
        <f t="shared" si="9"/>
        <v>94629.515048000001</v>
      </c>
      <c r="G67" s="87">
        <f t="shared" si="10"/>
        <v>100634.942048</v>
      </c>
      <c r="H67" s="86">
        <f t="shared" si="11"/>
        <v>55.104691512427316</v>
      </c>
      <c r="I67" s="86">
        <f t="shared" si="12"/>
        <v>69.848006831268762</v>
      </c>
      <c r="J67" s="2"/>
    </row>
    <row r="68" spans="2:10" x14ac:dyDescent="0.25">
      <c r="B68" s="294">
        <v>6.3</v>
      </c>
      <c r="C68" s="87">
        <v>82175.44</v>
      </c>
      <c r="D68" s="87">
        <f>C68*(0.2438-0.17)</f>
        <v>6064.5474719999984</v>
      </c>
      <c r="E68" s="87">
        <f>C68*0.17</f>
        <v>13969.824800000002</v>
      </c>
      <c r="F68" s="87">
        <f>C68*1.1818</f>
        <v>97114.934991999995</v>
      </c>
      <c r="G68" s="87">
        <f>C68*1.2568</f>
        <v>103278.09299199999</v>
      </c>
      <c r="H68" s="86">
        <f t="shared" si="11"/>
        <v>56.55200210282274</v>
      </c>
      <c r="I68" s="86">
        <f t="shared" si="12"/>
        <v>71.682546817435068</v>
      </c>
      <c r="J68" s="2"/>
    </row>
    <row r="69" spans="2:10" x14ac:dyDescent="0.25">
      <c r="B69" s="294">
        <v>6.4</v>
      </c>
      <c r="C69" s="87">
        <v>83041.8</v>
      </c>
      <c r="D69" s="87">
        <f>C69*(0.2438-0.17)</f>
        <v>6128.4848399999983</v>
      </c>
      <c r="E69" s="87">
        <f>C69*0.17</f>
        <v>14117.106000000002</v>
      </c>
      <c r="F69" s="87">
        <f>C69*1.1818</f>
        <v>98138.799239999993</v>
      </c>
      <c r="G69" s="87">
        <f>C69*1.2568</f>
        <v>104366.93424</v>
      </c>
      <c r="H69" s="86">
        <f t="shared" si="11"/>
        <v>57.148219081299544</v>
      </c>
      <c r="I69" s="86">
        <f t="shared" si="12"/>
        <v>72.438282244720327</v>
      </c>
      <c r="J69" s="2"/>
    </row>
    <row r="70" spans="2:10" x14ac:dyDescent="0.25">
      <c r="B70" s="294">
        <v>7.1</v>
      </c>
      <c r="C70" s="87">
        <v>86164.97</v>
      </c>
      <c r="D70" s="87">
        <f t="shared" si="7"/>
        <v>6358.9747859999979</v>
      </c>
      <c r="E70" s="87">
        <f t="shared" si="8"/>
        <v>14648.044900000001</v>
      </c>
      <c r="F70" s="87">
        <f t="shared" si="9"/>
        <v>101829.76154599999</v>
      </c>
      <c r="G70" s="87">
        <f t="shared" si="10"/>
        <v>108292.13429599999</v>
      </c>
      <c r="H70" s="86">
        <f t="shared" si="11"/>
        <v>59.297541511547216</v>
      </c>
      <c r="I70" s="86">
        <f t="shared" si="12"/>
        <v>75.162658040503189</v>
      </c>
      <c r="J70" s="2"/>
    </row>
    <row r="71" spans="2:10" x14ac:dyDescent="0.25">
      <c r="B71" s="294">
        <v>7.2</v>
      </c>
      <c r="C71" s="87">
        <v>88794.13</v>
      </c>
      <c r="D71" s="87">
        <f t="shared" si="7"/>
        <v>6553.0067939999981</v>
      </c>
      <c r="E71" s="87">
        <f t="shared" si="8"/>
        <v>15095.002100000002</v>
      </c>
      <c r="F71" s="87">
        <f t="shared" si="9"/>
        <v>104936.90283400001</v>
      </c>
      <c r="G71" s="87">
        <f t="shared" si="10"/>
        <v>111596.46258399999</v>
      </c>
      <c r="H71" s="86">
        <f t="shared" si="11"/>
        <v>61.106893087257163</v>
      </c>
      <c r="I71" s="86">
        <f t="shared" si="12"/>
        <v>77.456103439645915</v>
      </c>
      <c r="J71" s="2"/>
    </row>
    <row r="72" spans="2:10" x14ac:dyDescent="0.25">
      <c r="B72" s="294">
        <v>7.3</v>
      </c>
      <c r="C72" s="87">
        <v>91424.66</v>
      </c>
      <c r="D72" s="87">
        <f t="shared" si="7"/>
        <v>6747.1399079999983</v>
      </c>
      <c r="E72" s="87">
        <f t="shared" si="8"/>
        <v>15542.192200000001</v>
      </c>
      <c r="F72" s="87">
        <f t="shared" si="9"/>
        <v>108045.66318800001</v>
      </c>
      <c r="G72" s="87">
        <f t="shared" si="10"/>
        <v>114902.512688</v>
      </c>
      <c r="H72" s="86">
        <f t="shared" si="11"/>
        <v>62.917187478033028</v>
      </c>
      <c r="I72" s="86">
        <f t="shared" si="12"/>
        <v>79.750743904968246</v>
      </c>
      <c r="J72" s="2"/>
    </row>
    <row r="73" spans="2:10" x14ac:dyDescent="0.25">
      <c r="B73" s="294">
        <v>7.4</v>
      </c>
      <c r="C73" s="87">
        <v>92508.14</v>
      </c>
      <c r="D73" s="87">
        <f t="shared" si="7"/>
        <v>6827.1007319999981</v>
      </c>
      <c r="E73" s="87">
        <f t="shared" si="8"/>
        <v>15726.383800000001</v>
      </c>
      <c r="F73" s="87">
        <f t="shared" si="9"/>
        <v>109326.11985199999</v>
      </c>
      <c r="G73" s="87">
        <f t="shared" si="10"/>
        <v>116264.230352</v>
      </c>
      <c r="H73" s="86">
        <f t="shared" si="11"/>
        <v>63.662823439804157</v>
      </c>
      <c r="I73" s="86">
        <f t="shared" si="12"/>
        <v>80.6958755139472</v>
      </c>
      <c r="J73" s="2"/>
    </row>
    <row r="74" spans="2:10" x14ac:dyDescent="0.25">
      <c r="B74" s="294">
        <v>8.1</v>
      </c>
      <c r="C74" s="87">
        <v>96988</v>
      </c>
      <c r="D74" s="87">
        <f t="shared" si="7"/>
        <v>7157.714399999998</v>
      </c>
      <c r="E74" s="87">
        <f t="shared" si="8"/>
        <v>16487.960000000003</v>
      </c>
      <c r="F74" s="87">
        <f t="shared" si="9"/>
        <v>114620.4184</v>
      </c>
      <c r="G74" s="87">
        <f t="shared" si="10"/>
        <v>121894.51839999999</v>
      </c>
      <c r="H74" s="86">
        <f t="shared" si="11"/>
        <v>66.745801177925813</v>
      </c>
      <c r="I74" s="86">
        <f t="shared" si="12"/>
        <v>84.603707028881047</v>
      </c>
      <c r="J74" s="2"/>
    </row>
    <row r="75" spans="2:10" x14ac:dyDescent="0.25">
      <c r="B75" s="294">
        <v>8.1999999999999993</v>
      </c>
      <c r="C75" s="87">
        <v>100142.84</v>
      </c>
      <c r="D75" s="87">
        <f t="shared" si="7"/>
        <v>7390.5415919999978</v>
      </c>
      <c r="E75" s="87">
        <f t="shared" si="8"/>
        <v>17024.282800000001</v>
      </c>
      <c r="F75" s="87">
        <f t="shared" si="9"/>
        <v>118348.80831199999</v>
      </c>
      <c r="G75" s="87">
        <f t="shared" si="10"/>
        <v>125859.52131199998</v>
      </c>
      <c r="H75" s="86">
        <f t="shared" si="11"/>
        <v>68.916918464478456</v>
      </c>
      <c r="I75" s="86">
        <f t="shared" si="12"/>
        <v>87.355708916568133</v>
      </c>
      <c r="J75" s="2"/>
    </row>
    <row r="76" spans="2:10" x14ac:dyDescent="0.25">
      <c r="B76" s="294">
        <v>8.3000000000000007</v>
      </c>
      <c r="C76" s="87">
        <v>103298.11</v>
      </c>
      <c r="D76" s="87">
        <f t="shared" si="7"/>
        <v>7623.4005179999976</v>
      </c>
      <c r="E76" s="87">
        <f t="shared" si="8"/>
        <v>17560.6787</v>
      </c>
      <c r="F76" s="87">
        <f t="shared" si="9"/>
        <v>122077.70639799999</v>
      </c>
      <c r="G76" s="87">
        <f t="shared" si="10"/>
        <v>129825.06464799999</v>
      </c>
      <c r="H76" s="86">
        <f t="shared" si="11"/>
        <v>71.08833167108827</v>
      </c>
      <c r="I76" s="86">
        <f t="shared" si="12"/>
        <v>90.10808589801961</v>
      </c>
      <c r="J76" s="2"/>
    </row>
    <row r="77" spans="2:10" x14ac:dyDescent="0.25">
      <c r="B77" s="294">
        <v>8.4</v>
      </c>
      <c r="C77" s="87">
        <v>106449.95</v>
      </c>
      <c r="D77" s="87">
        <f t="shared" si="7"/>
        <v>7856.006309999997</v>
      </c>
      <c r="E77" s="87">
        <f t="shared" si="8"/>
        <v>18096.4915</v>
      </c>
      <c r="F77" s="87">
        <f t="shared" si="9"/>
        <v>125802.55090999999</v>
      </c>
      <c r="G77" s="87">
        <f t="shared" si="10"/>
        <v>133786.29715999999</v>
      </c>
      <c r="H77" s="86">
        <f t="shared" si="11"/>
        <v>73.257384399102406</v>
      </c>
      <c r="I77" s="86">
        <f t="shared" si="12"/>
        <v>92.857470852466662</v>
      </c>
      <c r="J77" s="2"/>
    </row>
    <row r="78" spans="2:10" x14ac:dyDescent="0.25">
      <c r="B78" s="294">
        <v>8.5</v>
      </c>
      <c r="C78" s="87">
        <v>107747.84</v>
      </c>
      <c r="D78" s="87">
        <f t="shared" si="7"/>
        <v>7951.7905919999976</v>
      </c>
      <c r="E78" s="87">
        <f t="shared" si="8"/>
        <v>18317.132799999999</v>
      </c>
      <c r="F78" s="87">
        <f t="shared" si="9"/>
        <v>127336.39731199999</v>
      </c>
      <c r="G78" s="87">
        <f t="shared" si="10"/>
        <v>135417.48531199998</v>
      </c>
      <c r="H78" s="86">
        <f t="shared" si="11"/>
        <v>74.150574359621402</v>
      </c>
      <c r="I78" s="86">
        <f t="shared" si="12"/>
        <v>93.989634680112474</v>
      </c>
      <c r="J78" s="2"/>
    </row>
    <row r="79" spans="2:10" x14ac:dyDescent="0.25">
      <c r="B79" s="294">
        <v>9.1</v>
      </c>
      <c r="C79" s="87">
        <v>112757.7</v>
      </c>
      <c r="D79" s="87">
        <f t="shared" si="7"/>
        <v>8321.5182599999971</v>
      </c>
      <c r="E79" s="87">
        <f t="shared" si="8"/>
        <v>19168.809000000001</v>
      </c>
      <c r="F79" s="87">
        <f t="shared" si="9"/>
        <v>133257.04986</v>
      </c>
      <c r="G79" s="87">
        <f t="shared" si="10"/>
        <v>141713.87735999998</v>
      </c>
      <c r="H79" s="86">
        <f t="shared" si="11"/>
        <v>77.598290772881228</v>
      </c>
      <c r="I79" s="86">
        <f t="shared" si="12"/>
        <v>98.359791067456385</v>
      </c>
      <c r="J79" s="2"/>
    </row>
    <row r="80" spans="2:10" x14ac:dyDescent="0.25">
      <c r="B80" s="294">
        <v>9.1999999999999993</v>
      </c>
      <c r="C80" s="87">
        <v>115911.96</v>
      </c>
      <c r="D80" s="87">
        <f t="shared" si="7"/>
        <v>8554.3026479999971</v>
      </c>
      <c r="E80" s="87">
        <f t="shared" si="8"/>
        <v>19705.033200000002</v>
      </c>
      <c r="F80" s="87">
        <f t="shared" si="9"/>
        <v>136984.75432800001</v>
      </c>
      <c r="G80" s="87">
        <f t="shared" si="10"/>
        <v>145678.15132800001</v>
      </c>
      <c r="H80" s="86">
        <f t="shared" si="11"/>
        <v>79.769008911449774</v>
      </c>
      <c r="I80" s="86">
        <f t="shared" si="12"/>
        <v>101.11128701471708</v>
      </c>
      <c r="J80" s="2"/>
    </row>
    <row r="81" spans="1:19" x14ac:dyDescent="0.25">
      <c r="B81" s="294">
        <v>9.3000000000000007</v>
      </c>
      <c r="C81" s="87">
        <v>117211.8</v>
      </c>
      <c r="D81" s="87">
        <f t="shared" si="7"/>
        <v>8650.2308399999984</v>
      </c>
      <c r="E81" s="87">
        <f t="shared" si="8"/>
        <v>19926.006000000001</v>
      </c>
      <c r="F81" s="87">
        <f t="shared" si="9"/>
        <v>138520.90523999999</v>
      </c>
      <c r="G81" s="87">
        <f t="shared" si="10"/>
        <v>147311.79024</v>
      </c>
      <c r="H81" s="86">
        <f t="shared" si="11"/>
        <v>80.663540835018821</v>
      </c>
      <c r="I81" s="86">
        <f t="shared" si="12"/>
        <v>102.24515184896894</v>
      </c>
      <c r="J81" s="2"/>
    </row>
    <row r="82" spans="1:19" x14ac:dyDescent="0.25">
      <c r="B82" s="294">
        <v>10.1</v>
      </c>
      <c r="C82" s="87">
        <v>120873.86</v>
      </c>
      <c r="D82" s="87">
        <f t="shared" si="7"/>
        <v>8920.4908679999971</v>
      </c>
      <c r="E82" s="87">
        <f t="shared" si="8"/>
        <v>20548.556200000003</v>
      </c>
      <c r="F82" s="87">
        <f t="shared" si="9"/>
        <v>142848.727748</v>
      </c>
      <c r="G82" s="87">
        <f t="shared" si="10"/>
        <v>151914.26724799999</v>
      </c>
      <c r="H82" s="86">
        <f t="shared" si="11"/>
        <v>83.183719915540465</v>
      </c>
      <c r="I82" s="86">
        <f t="shared" si="12"/>
        <v>105.43960736266324</v>
      </c>
      <c r="J82" s="2"/>
    </row>
    <row r="83" spans="1:19" x14ac:dyDescent="0.25">
      <c r="B83" s="294">
        <v>10.199999999999999</v>
      </c>
      <c r="C83" s="302">
        <v>124484.61</v>
      </c>
      <c r="D83" s="302">
        <f t="shared" si="7"/>
        <v>9186.9642179999973</v>
      </c>
      <c r="E83" s="302">
        <f t="shared" si="8"/>
        <v>21162.383700000002</v>
      </c>
      <c r="F83" s="302">
        <f t="shared" si="9"/>
        <v>147115.912098</v>
      </c>
      <c r="G83" s="302">
        <f t="shared" si="10"/>
        <v>156452.25784799998</v>
      </c>
      <c r="H83" s="303">
        <f t="shared" si="11"/>
        <v>85.668588163191686</v>
      </c>
      <c r="I83" s="303">
        <f t="shared" si="12"/>
        <v>108.58930459484179</v>
      </c>
      <c r="J83" s="308"/>
    </row>
    <row r="84" spans="1:19" s="35" customFormat="1" ht="45" x14ac:dyDescent="0.25">
      <c r="B84" s="296">
        <v>10.3</v>
      </c>
      <c r="C84" s="305">
        <v>125990.82</v>
      </c>
      <c r="D84" s="302">
        <f t="shared" si="7"/>
        <v>9298.1225159999976</v>
      </c>
      <c r="E84" s="302">
        <f t="shared" si="8"/>
        <v>21418.439400000003</v>
      </c>
      <c r="F84" s="302">
        <f t="shared" si="9"/>
        <v>148895.951076</v>
      </c>
      <c r="G84" s="302">
        <f t="shared" si="10"/>
        <v>158345.26257600001</v>
      </c>
      <c r="H84" s="303">
        <f t="shared" si="11"/>
        <v>86.705141068625394</v>
      </c>
      <c r="I84" s="303">
        <f t="shared" si="12"/>
        <v>109.90318826667719</v>
      </c>
      <c r="J84" s="308"/>
      <c r="K84" s="289"/>
      <c r="L84" s="259" t="s">
        <v>402</v>
      </c>
      <c r="M84" s="258" t="s">
        <v>403</v>
      </c>
      <c r="N84" s="258"/>
      <c r="O84" s="259" t="s">
        <v>404</v>
      </c>
      <c r="P84" s="260" t="s">
        <v>405</v>
      </c>
      <c r="Q84" s="261" t="s">
        <v>406</v>
      </c>
      <c r="R84" s="261" t="s">
        <v>407</v>
      </c>
      <c r="S84" s="261" t="s">
        <v>408</v>
      </c>
    </row>
    <row r="85" spans="1:19" s="35" customFormat="1" x14ac:dyDescent="0.25">
      <c r="B85" s="297" t="s">
        <v>415</v>
      </c>
      <c r="C85" s="306">
        <f>M85*(1+$M$1)*35*52.178571</f>
        <v>44377.874635499997</v>
      </c>
      <c r="D85" s="306">
        <f>(C85*(0.01+0.0545))</f>
        <v>2862.37291398975</v>
      </c>
      <c r="E85" s="306">
        <f>C85*0.095</f>
        <v>4215.8980903724996</v>
      </c>
      <c r="F85" s="302">
        <f t="shared" si="9"/>
        <v>52445.772244233893</v>
      </c>
      <c r="G85" s="306">
        <f>F85</f>
        <v>52445.772244233893</v>
      </c>
      <c r="H85" s="303">
        <f>G85/52.178571/35</f>
        <v>28.717739999999996</v>
      </c>
      <c r="I85" s="303">
        <f>H85</f>
        <v>28.717739999999996</v>
      </c>
      <c r="J85" s="308"/>
      <c r="K85" s="289"/>
      <c r="L85" s="35">
        <v>1</v>
      </c>
      <c r="M85" s="35">
        <v>24.3</v>
      </c>
      <c r="O85" s="290">
        <f>M85*0.01</f>
        <v>0.24300000000000002</v>
      </c>
      <c r="P85" s="290">
        <f>M85*0.0545</f>
        <v>1.3243500000000001</v>
      </c>
      <c r="Q85" s="290">
        <f>M85*0.095</f>
        <v>2.3085</v>
      </c>
      <c r="R85" s="290">
        <f>Q85*0.0545</f>
        <v>0.12581324999999999</v>
      </c>
      <c r="S85" s="290">
        <f>SUM(M85:R85)</f>
        <v>28.301663249999997</v>
      </c>
    </row>
    <row r="86" spans="1:19" s="35" customFormat="1" x14ac:dyDescent="0.25">
      <c r="B86" s="297" t="s">
        <v>394</v>
      </c>
      <c r="C86" s="306">
        <f>M86*35*52.178571</f>
        <v>47336.399611200002</v>
      </c>
      <c r="D86" s="306">
        <f>(C86*(0.01+0.0545))</f>
        <v>3053.1977749224002</v>
      </c>
      <c r="E86" s="306">
        <f>C86*0.095</f>
        <v>4496.9579630640001</v>
      </c>
      <c r="F86" s="302">
        <f t="shared" si="9"/>
        <v>55942.157060516161</v>
      </c>
      <c r="G86" s="306">
        <f>F86</f>
        <v>55942.157060516161</v>
      </c>
      <c r="H86" s="303">
        <f t="shared" si="11"/>
        <v>30.632256000000002</v>
      </c>
      <c r="I86" s="303">
        <f t="shared" ref="I86:I109" si="13">H86</f>
        <v>30.632256000000002</v>
      </c>
      <c r="J86" s="308"/>
      <c r="K86" s="289"/>
      <c r="L86" s="35">
        <v>2</v>
      </c>
      <c r="M86" s="290">
        <v>25.92</v>
      </c>
      <c r="N86" s="290"/>
      <c r="O86" s="290">
        <f>M86*0.01</f>
        <v>0.25920000000000004</v>
      </c>
      <c r="P86" s="290">
        <f>M86*0.0545</f>
        <v>1.4126400000000001</v>
      </c>
      <c r="Q86" s="290">
        <f>M86*0.095</f>
        <v>2.4624000000000001</v>
      </c>
      <c r="R86" s="290">
        <f>Q86*0.0545</f>
        <v>0.13420080000000001</v>
      </c>
      <c r="S86" s="290">
        <f>SUM(M86:R86)</f>
        <v>30.188440799999999</v>
      </c>
    </row>
    <row r="87" spans="1:19" s="35" customFormat="1" x14ac:dyDescent="0.25">
      <c r="B87" s="297" t="s">
        <v>395</v>
      </c>
      <c r="C87" s="306">
        <f>M87*35*52.178571</f>
        <v>53253.449562599999</v>
      </c>
      <c r="D87" s="306">
        <f>(C87*(0.01+0.0545))</f>
        <v>3434.8474967877</v>
      </c>
      <c r="E87" s="306">
        <f t="shared" ref="E87:E109" si="14">C87*0.095</f>
        <v>5059.0777084470001</v>
      </c>
      <c r="F87" s="302">
        <f t="shared" si="9"/>
        <v>62934.926693080677</v>
      </c>
      <c r="G87" s="306">
        <f t="shared" ref="G87:G109" si="15">F87</f>
        <v>62934.926693080677</v>
      </c>
      <c r="H87" s="303">
        <f t="shared" si="11"/>
        <v>34.461288000000003</v>
      </c>
      <c r="I87" s="303">
        <f t="shared" si="13"/>
        <v>34.461288000000003</v>
      </c>
      <c r="J87" s="308"/>
      <c r="K87" s="289"/>
      <c r="L87" s="35">
        <v>3</v>
      </c>
      <c r="M87" s="290">
        <v>29.16</v>
      </c>
      <c r="N87" s="290"/>
      <c r="O87" s="290">
        <f>M87*0.01</f>
        <v>0.29160000000000003</v>
      </c>
      <c r="P87" s="290">
        <f>M87*0.0545</f>
        <v>1.5892200000000001</v>
      </c>
      <c r="Q87" s="290">
        <f>M87*0.095</f>
        <v>2.7702</v>
      </c>
      <c r="R87" s="290">
        <f>Q87*0.0545</f>
        <v>0.1509759</v>
      </c>
      <c r="S87" s="290">
        <f>SUM(M87:R87)</f>
        <v>33.961995899999998</v>
      </c>
    </row>
    <row r="88" spans="1:19" s="35" customFormat="1" x14ac:dyDescent="0.25">
      <c r="A88" s="291" t="s">
        <v>417</v>
      </c>
      <c r="B88" s="297" t="s">
        <v>416</v>
      </c>
      <c r="C88" s="302">
        <f>J88*37.5*52.178571*(1+$M$1)</f>
        <v>88090.472490750006</v>
      </c>
      <c r="D88" s="306">
        <f>(C88*(0.01+0.0545))</f>
        <v>5681.8354756533754</v>
      </c>
      <c r="E88" s="306">
        <f t="shared" si="14"/>
        <v>8368.5948866212511</v>
      </c>
      <c r="F88" s="302">
        <f t="shared" si="9"/>
        <v>104105.32038956835</v>
      </c>
      <c r="G88" s="306">
        <f t="shared" si="15"/>
        <v>104105.32038956835</v>
      </c>
      <c r="H88" s="303">
        <f>G88/52.178571/37.55</f>
        <v>53.133790945406133</v>
      </c>
      <c r="I88" s="303">
        <f t="shared" si="13"/>
        <v>53.133790945406133</v>
      </c>
      <c r="J88" s="304">
        <v>45.02</v>
      </c>
      <c r="K88" s="289"/>
    </row>
    <row r="89" spans="1:19" s="35" customFormat="1" ht="30" x14ac:dyDescent="0.25">
      <c r="A89" s="291" t="s">
        <v>419</v>
      </c>
      <c r="B89" s="297" t="s">
        <v>418</v>
      </c>
      <c r="C89" s="302">
        <f t="shared" ref="C89:C109" si="16">J89*37.5*52.178571*(1+$M$1)</f>
        <v>106796.49019425</v>
      </c>
      <c r="D89" s="306">
        <f t="shared" ref="D89:D109" si="17">(C89*(0.01+0.0545))</f>
        <v>6888.3736175291251</v>
      </c>
      <c r="E89" s="306">
        <f t="shared" si="14"/>
        <v>10145.666568453749</v>
      </c>
      <c r="F89" s="302">
        <f t="shared" si="9"/>
        <v>126212.09211156465</v>
      </c>
      <c r="G89" s="306">
        <f t="shared" si="15"/>
        <v>126212.09211156465</v>
      </c>
      <c r="H89" s="303">
        <f t="shared" ref="H89:H109" si="18">G89/52.178571/37.55</f>
        <v>64.416754993342209</v>
      </c>
      <c r="I89" s="303">
        <f t="shared" si="13"/>
        <v>64.416754993342209</v>
      </c>
      <c r="J89" s="304">
        <v>54.58</v>
      </c>
      <c r="K89" s="289"/>
      <c r="L89" s="288"/>
    </row>
    <row r="90" spans="1:19" s="35" customFormat="1" x14ac:dyDescent="0.25">
      <c r="A90" s="291" t="s">
        <v>421</v>
      </c>
      <c r="B90" s="297" t="s">
        <v>420</v>
      </c>
      <c r="C90" s="302">
        <f t="shared" si="16"/>
        <v>125091.60165112499</v>
      </c>
      <c r="D90" s="306">
        <f t="shared" si="17"/>
        <v>8068.4083064975621</v>
      </c>
      <c r="E90" s="306">
        <f t="shared" si="14"/>
        <v>11883.702156856874</v>
      </c>
      <c r="F90" s="302">
        <f t="shared" si="9"/>
        <v>147833.25483129951</v>
      </c>
      <c r="G90" s="306">
        <f t="shared" si="15"/>
        <v>147833.25483129951</v>
      </c>
      <c r="H90" s="303">
        <f t="shared" si="18"/>
        <v>75.451871504660446</v>
      </c>
      <c r="I90" s="303">
        <f t="shared" si="13"/>
        <v>75.451871504660446</v>
      </c>
      <c r="J90" s="304">
        <v>63.93</v>
      </c>
      <c r="K90" s="289"/>
      <c r="L90" s="288"/>
    </row>
    <row r="91" spans="1:19" s="35" customFormat="1" ht="30" x14ac:dyDescent="0.25">
      <c r="A91" s="291" t="s">
        <v>423</v>
      </c>
      <c r="B91" s="297" t="s">
        <v>422</v>
      </c>
      <c r="C91" s="302">
        <f t="shared" si="16"/>
        <v>125091.60165112499</v>
      </c>
      <c r="D91" s="306">
        <f t="shared" si="17"/>
        <v>8068.4083064975621</v>
      </c>
      <c r="E91" s="306">
        <f t="shared" si="14"/>
        <v>11883.702156856874</v>
      </c>
      <c r="F91" s="302">
        <f t="shared" si="9"/>
        <v>147833.25483129951</v>
      </c>
      <c r="G91" s="306">
        <f t="shared" si="15"/>
        <v>147833.25483129951</v>
      </c>
      <c r="H91" s="303">
        <f t="shared" si="18"/>
        <v>75.451871504660446</v>
      </c>
      <c r="I91" s="303">
        <f t="shared" si="13"/>
        <v>75.451871504660446</v>
      </c>
      <c r="J91" s="304">
        <v>63.93</v>
      </c>
      <c r="K91" s="289"/>
      <c r="L91" s="288"/>
    </row>
    <row r="92" spans="1:19" s="35" customFormat="1" ht="30" x14ac:dyDescent="0.25">
      <c r="A92" s="291" t="s">
        <v>425</v>
      </c>
      <c r="B92" s="297" t="s">
        <v>424</v>
      </c>
      <c r="C92" s="302">
        <f t="shared" si="16"/>
        <v>89401.459087124997</v>
      </c>
      <c r="D92" s="306">
        <f t="shared" si="17"/>
        <v>5766.3941111195627</v>
      </c>
      <c r="E92" s="306">
        <f t="shared" si="14"/>
        <v>8493.1386132768748</v>
      </c>
      <c r="F92" s="302">
        <f t="shared" si="9"/>
        <v>105654.64434916431</v>
      </c>
      <c r="G92" s="306">
        <f t="shared" si="15"/>
        <v>105654.64434916431</v>
      </c>
      <c r="H92" s="303">
        <f t="shared" si="18"/>
        <v>53.924542609853525</v>
      </c>
      <c r="I92" s="303">
        <f t="shared" si="13"/>
        <v>53.924542609853525</v>
      </c>
      <c r="J92" s="304">
        <v>45.69</v>
      </c>
      <c r="K92" s="289"/>
      <c r="L92" s="288"/>
    </row>
    <row r="93" spans="1:19" s="35" customFormat="1" ht="30" x14ac:dyDescent="0.25">
      <c r="A93" s="291" t="s">
        <v>427</v>
      </c>
      <c r="B93" s="297" t="s">
        <v>426</v>
      </c>
      <c r="C93" s="302">
        <f t="shared" si="16"/>
        <v>106796.49019425</v>
      </c>
      <c r="D93" s="306">
        <f t="shared" si="17"/>
        <v>6888.3736175291251</v>
      </c>
      <c r="E93" s="306">
        <f t="shared" si="14"/>
        <v>10145.666568453749</v>
      </c>
      <c r="F93" s="302">
        <f t="shared" si="9"/>
        <v>126212.09211156465</v>
      </c>
      <c r="G93" s="306">
        <f t="shared" si="15"/>
        <v>126212.09211156465</v>
      </c>
      <c r="H93" s="303">
        <f t="shared" si="18"/>
        <v>64.416754993342209</v>
      </c>
      <c r="I93" s="303">
        <f t="shared" si="13"/>
        <v>64.416754993342209</v>
      </c>
      <c r="J93" s="304">
        <v>54.58</v>
      </c>
      <c r="K93" s="289"/>
      <c r="L93" s="288"/>
    </row>
    <row r="94" spans="1:19" s="35" customFormat="1" ht="30" x14ac:dyDescent="0.25">
      <c r="A94" s="291" t="s">
        <v>429</v>
      </c>
      <c r="B94" s="297" t="s">
        <v>428</v>
      </c>
      <c r="C94" s="302">
        <f t="shared" si="16"/>
        <v>134111.97211275002</v>
      </c>
      <c r="D94" s="306">
        <f t="shared" si="17"/>
        <v>8650.222201272376</v>
      </c>
      <c r="E94" s="306">
        <f t="shared" si="14"/>
        <v>12740.637350711253</v>
      </c>
      <c r="F94" s="302">
        <f t="shared" si="9"/>
        <v>158493.52864284796</v>
      </c>
      <c r="G94" s="306">
        <f t="shared" si="15"/>
        <v>158493.52864284796</v>
      </c>
      <c r="H94" s="303">
        <f t="shared" si="18"/>
        <v>80.892715046604536</v>
      </c>
      <c r="I94" s="303">
        <f t="shared" si="13"/>
        <v>80.892715046604536</v>
      </c>
      <c r="J94" s="304">
        <v>68.540000000000006</v>
      </c>
      <c r="K94" s="289"/>
      <c r="L94" s="288"/>
    </row>
    <row r="95" spans="1:19" s="35" customFormat="1" ht="45" x14ac:dyDescent="0.25">
      <c r="A95" s="291" t="s">
        <v>431</v>
      </c>
      <c r="B95" s="297" t="s">
        <v>430</v>
      </c>
      <c r="C95" s="302">
        <f t="shared" si="16"/>
        <v>160194.73529137499</v>
      </c>
      <c r="D95" s="306">
        <f t="shared" si="17"/>
        <v>10332.560426293687</v>
      </c>
      <c r="E95" s="306">
        <f t="shared" si="14"/>
        <v>15218.499852680625</v>
      </c>
      <c r="F95" s="302">
        <f t="shared" si="9"/>
        <v>189318.13816734697</v>
      </c>
      <c r="G95" s="306">
        <f t="shared" si="15"/>
        <v>189318.13816734697</v>
      </c>
      <c r="H95" s="303">
        <f t="shared" si="18"/>
        <v>96.625132490013328</v>
      </c>
      <c r="I95" s="303">
        <f t="shared" si="13"/>
        <v>96.625132490013328</v>
      </c>
      <c r="J95" s="304">
        <v>81.87</v>
      </c>
      <c r="K95" s="289"/>
      <c r="L95" s="288"/>
    </row>
    <row r="96" spans="1:19" s="35" customFormat="1" x14ac:dyDescent="0.25">
      <c r="A96" s="291" t="s">
        <v>433</v>
      </c>
      <c r="B96" s="297" t="s">
        <v>432</v>
      </c>
      <c r="C96" s="302">
        <f t="shared" si="16"/>
        <v>178802.91817424999</v>
      </c>
      <c r="D96" s="306">
        <f t="shared" si="17"/>
        <v>11532.788222239125</v>
      </c>
      <c r="E96" s="306">
        <f t="shared" si="14"/>
        <v>16986.27722655375</v>
      </c>
      <c r="F96" s="302">
        <f t="shared" si="9"/>
        <v>211309.28869832863</v>
      </c>
      <c r="G96" s="306">
        <f t="shared" si="15"/>
        <v>211309.28869832863</v>
      </c>
      <c r="H96" s="303">
        <f t="shared" si="18"/>
        <v>107.84908521970705</v>
      </c>
      <c r="I96" s="303">
        <f t="shared" si="13"/>
        <v>107.84908521970705</v>
      </c>
      <c r="J96" s="304">
        <v>91.38</v>
      </c>
      <c r="K96" s="289"/>
      <c r="L96" s="288"/>
    </row>
    <row r="97" spans="1:12" s="35" customFormat="1" x14ac:dyDescent="0.25">
      <c r="A97" s="291" t="s">
        <v>435</v>
      </c>
      <c r="B97" s="297" t="s">
        <v>434</v>
      </c>
      <c r="C97" s="302">
        <f t="shared" si="16"/>
        <v>213612.547352625</v>
      </c>
      <c r="D97" s="306">
        <f t="shared" si="17"/>
        <v>13778.009304244313</v>
      </c>
      <c r="E97" s="306">
        <f t="shared" si="14"/>
        <v>20293.191998499376</v>
      </c>
      <c r="F97" s="302">
        <f t="shared" si="9"/>
        <v>252447.30846133223</v>
      </c>
      <c r="G97" s="306">
        <f t="shared" si="15"/>
        <v>252447.30846133223</v>
      </c>
      <c r="H97" s="303">
        <f t="shared" si="18"/>
        <v>128.84531225033291</v>
      </c>
      <c r="I97" s="303">
        <f t="shared" si="13"/>
        <v>128.84531225033291</v>
      </c>
      <c r="J97" s="304">
        <v>109.17</v>
      </c>
      <c r="K97" s="289"/>
      <c r="L97" s="288"/>
    </row>
    <row r="98" spans="1:12" s="35" customFormat="1" x14ac:dyDescent="0.25">
      <c r="A98" s="291" t="s">
        <v>437</v>
      </c>
      <c r="B98" s="297" t="s">
        <v>436</v>
      </c>
      <c r="C98" s="302">
        <f t="shared" si="16"/>
        <v>268223.94422550005</v>
      </c>
      <c r="D98" s="306">
        <f t="shared" si="17"/>
        <v>17300.444402544752</v>
      </c>
      <c r="E98" s="306">
        <f t="shared" si="14"/>
        <v>25481.274701422506</v>
      </c>
      <c r="F98" s="302">
        <f t="shared" si="9"/>
        <v>316987.05728569592</v>
      </c>
      <c r="G98" s="306">
        <f t="shared" si="15"/>
        <v>316987.05728569592</v>
      </c>
      <c r="H98" s="303">
        <f t="shared" si="18"/>
        <v>161.78543009320907</v>
      </c>
      <c r="I98" s="303">
        <f t="shared" si="13"/>
        <v>161.78543009320907</v>
      </c>
      <c r="J98" s="304">
        <v>137.08000000000001</v>
      </c>
      <c r="K98" s="289"/>
      <c r="L98" s="288"/>
    </row>
    <row r="99" spans="1:12" s="35" customFormat="1" x14ac:dyDescent="0.25">
      <c r="A99" s="291" t="s">
        <v>439</v>
      </c>
      <c r="B99" s="297" t="s">
        <v>438</v>
      </c>
      <c r="C99" s="302">
        <f t="shared" si="16"/>
        <v>320409.03754687501</v>
      </c>
      <c r="D99" s="306">
        <f t="shared" si="17"/>
        <v>20666.382921773438</v>
      </c>
      <c r="E99" s="306">
        <f t="shared" si="14"/>
        <v>30438.858566953128</v>
      </c>
      <c r="F99" s="302">
        <f t="shared" si="9"/>
        <v>378659.40057289688</v>
      </c>
      <c r="G99" s="306">
        <f t="shared" si="15"/>
        <v>378659.40057289688</v>
      </c>
      <c r="H99" s="303">
        <f t="shared" si="18"/>
        <v>193.26206724367512</v>
      </c>
      <c r="I99" s="303">
        <f t="shared" si="13"/>
        <v>193.26206724367512</v>
      </c>
      <c r="J99" s="304">
        <v>163.75</v>
      </c>
      <c r="K99" s="289"/>
      <c r="L99" s="288"/>
    </row>
    <row r="100" spans="1:12" s="35" customFormat="1" x14ac:dyDescent="0.25">
      <c r="A100" s="291" t="s">
        <v>441</v>
      </c>
      <c r="B100" s="297" t="s">
        <v>440</v>
      </c>
      <c r="C100" s="302">
        <f t="shared" si="16"/>
        <v>250183.20330224998</v>
      </c>
      <c r="D100" s="306">
        <f t="shared" si="17"/>
        <v>16136.816612995124</v>
      </c>
      <c r="E100" s="306">
        <f t="shared" si="14"/>
        <v>23767.404313713749</v>
      </c>
      <c r="F100" s="302">
        <f t="shared" si="9"/>
        <v>295666.50966259901</v>
      </c>
      <c r="G100" s="306">
        <f t="shared" si="15"/>
        <v>295666.50966259901</v>
      </c>
      <c r="H100" s="303">
        <f t="shared" si="18"/>
        <v>150.90374300932089</v>
      </c>
      <c r="I100" s="303">
        <f t="shared" si="13"/>
        <v>150.90374300932089</v>
      </c>
      <c r="J100" s="304">
        <v>127.86</v>
      </c>
      <c r="K100" s="289"/>
      <c r="L100" s="288"/>
    </row>
    <row r="101" spans="1:12" s="35" customFormat="1" x14ac:dyDescent="0.25">
      <c r="A101" s="291" t="s">
        <v>443</v>
      </c>
      <c r="B101" s="297" t="s">
        <v>442</v>
      </c>
      <c r="C101" s="302">
        <f t="shared" si="16"/>
        <v>375274.80495337496</v>
      </c>
      <c r="D101" s="306">
        <f t="shared" si="17"/>
        <v>24205.224919492684</v>
      </c>
      <c r="E101" s="306">
        <f t="shared" si="14"/>
        <v>35651.106470570623</v>
      </c>
      <c r="F101" s="302">
        <f t="shared" si="9"/>
        <v>443499.76449389849</v>
      </c>
      <c r="G101" s="306">
        <f t="shared" si="15"/>
        <v>443499.76449389849</v>
      </c>
      <c r="H101" s="303">
        <f t="shared" si="18"/>
        <v>226.35561451398135</v>
      </c>
      <c r="I101" s="303">
        <f t="shared" si="13"/>
        <v>226.35561451398135</v>
      </c>
      <c r="J101" s="304">
        <v>191.79</v>
      </c>
      <c r="K101" s="289"/>
      <c r="L101" s="288"/>
    </row>
    <row r="102" spans="1:12" s="35" customFormat="1" x14ac:dyDescent="0.25">
      <c r="A102" s="291" t="s">
        <v>445</v>
      </c>
      <c r="B102" s="297" t="s">
        <v>444</v>
      </c>
      <c r="C102" s="302">
        <f t="shared" si="16"/>
        <v>500366.40660449996</v>
      </c>
      <c r="D102" s="306">
        <f t="shared" si="17"/>
        <v>32273.633225990248</v>
      </c>
      <c r="E102" s="306">
        <f t="shared" si="14"/>
        <v>47534.808627427497</v>
      </c>
      <c r="F102" s="302">
        <f t="shared" si="9"/>
        <v>591333.01932519802</v>
      </c>
      <c r="G102" s="306">
        <f t="shared" si="15"/>
        <v>591333.01932519802</v>
      </c>
      <c r="H102" s="303">
        <f t="shared" si="18"/>
        <v>301.80748601864178</v>
      </c>
      <c r="I102" s="303">
        <f t="shared" si="13"/>
        <v>301.80748601864178</v>
      </c>
      <c r="J102" s="304">
        <v>255.72</v>
      </c>
      <c r="K102" s="289"/>
      <c r="L102" s="288"/>
    </row>
    <row r="103" spans="1:12" s="35" customFormat="1" x14ac:dyDescent="0.25">
      <c r="A103" s="291" t="s">
        <v>447</v>
      </c>
      <c r="B103" s="297" t="s">
        <v>446</v>
      </c>
      <c r="C103" s="302">
        <f t="shared" si="16"/>
        <v>625477.57521975006</v>
      </c>
      <c r="D103" s="306">
        <f t="shared" si="17"/>
        <v>40343.303601673877</v>
      </c>
      <c r="E103" s="306">
        <f t="shared" si="14"/>
        <v>59420.369645876257</v>
      </c>
      <c r="F103" s="302">
        <f t="shared" si="9"/>
        <v>739189.39839470061</v>
      </c>
      <c r="G103" s="306">
        <f t="shared" si="15"/>
        <v>739189.39839470061</v>
      </c>
      <c r="H103" s="303">
        <f t="shared" si="18"/>
        <v>377.27115978695082</v>
      </c>
      <c r="I103" s="303">
        <f t="shared" si="13"/>
        <v>377.27115978695082</v>
      </c>
      <c r="J103" s="304">
        <v>319.66000000000003</v>
      </c>
      <c r="K103" s="289"/>
      <c r="L103" s="288"/>
    </row>
    <row r="104" spans="1:12" s="35" customFormat="1" ht="30" x14ac:dyDescent="0.25">
      <c r="A104" s="291" t="s">
        <v>449</v>
      </c>
      <c r="B104" s="297" t="s">
        <v>448</v>
      </c>
      <c r="C104" s="302">
        <f t="shared" si="16"/>
        <v>134111.97211275002</v>
      </c>
      <c r="D104" s="306">
        <f t="shared" si="17"/>
        <v>8650.222201272376</v>
      </c>
      <c r="E104" s="306">
        <f t="shared" si="14"/>
        <v>12740.637350711253</v>
      </c>
      <c r="F104" s="302">
        <f t="shared" si="9"/>
        <v>158493.52864284796</v>
      </c>
      <c r="G104" s="306">
        <f t="shared" si="15"/>
        <v>158493.52864284796</v>
      </c>
      <c r="H104" s="303">
        <f t="shared" si="18"/>
        <v>80.892715046604536</v>
      </c>
      <c r="I104" s="303">
        <f t="shared" si="13"/>
        <v>80.892715046604536</v>
      </c>
      <c r="J104" s="304">
        <v>68.540000000000006</v>
      </c>
      <c r="K104" s="289"/>
      <c r="L104" s="288"/>
    </row>
    <row r="105" spans="1:12" s="35" customFormat="1" ht="30" x14ac:dyDescent="0.25">
      <c r="A105" s="291" t="s">
        <v>451</v>
      </c>
      <c r="B105" s="297" t="s">
        <v>450</v>
      </c>
      <c r="C105" s="302">
        <f t="shared" si="16"/>
        <v>178802.91817424999</v>
      </c>
      <c r="D105" s="306">
        <f t="shared" si="17"/>
        <v>11532.788222239125</v>
      </c>
      <c r="E105" s="306">
        <f t="shared" si="14"/>
        <v>16986.27722655375</v>
      </c>
      <c r="F105" s="302">
        <f t="shared" si="9"/>
        <v>211309.28869832863</v>
      </c>
      <c r="G105" s="306">
        <f t="shared" si="15"/>
        <v>211309.28869832863</v>
      </c>
      <c r="H105" s="303">
        <f t="shared" si="18"/>
        <v>107.84908521970705</v>
      </c>
      <c r="I105" s="303">
        <f t="shared" si="13"/>
        <v>107.84908521970705</v>
      </c>
      <c r="J105" s="304">
        <v>91.38</v>
      </c>
      <c r="K105" s="289"/>
      <c r="L105" s="288"/>
    </row>
    <row r="106" spans="1:12" s="35" customFormat="1" ht="30" x14ac:dyDescent="0.25">
      <c r="A106" s="291" t="s">
        <v>453</v>
      </c>
      <c r="B106" s="297" t="s">
        <v>452</v>
      </c>
      <c r="C106" s="302">
        <f t="shared" si="16"/>
        <v>160194.73529137499</v>
      </c>
      <c r="D106" s="306">
        <f t="shared" si="17"/>
        <v>10332.560426293687</v>
      </c>
      <c r="E106" s="306">
        <f t="shared" si="14"/>
        <v>15218.499852680625</v>
      </c>
      <c r="F106" s="302">
        <f t="shared" si="9"/>
        <v>189318.13816734697</v>
      </c>
      <c r="G106" s="306">
        <f t="shared" si="15"/>
        <v>189318.13816734697</v>
      </c>
      <c r="H106" s="303">
        <f t="shared" si="18"/>
        <v>96.625132490013328</v>
      </c>
      <c r="I106" s="303">
        <f t="shared" si="13"/>
        <v>96.625132490013328</v>
      </c>
      <c r="J106" s="304">
        <v>81.87</v>
      </c>
      <c r="K106" s="289"/>
      <c r="L106" s="288"/>
    </row>
    <row r="107" spans="1:12" s="35" customFormat="1" ht="30" x14ac:dyDescent="0.25">
      <c r="A107" s="291" t="s">
        <v>455</v>
      </c>
      <c r="B107" s="297" t="s">
        <v>454</v>
      </c>
      <c r="C107" s="302">
        <f t="shared" si="16"/>
        <v>213612.547352625</v>
      </c>
      <c r="D107" s="306">
        <f t="shared" si="17"/>
        <v>13778.009304244313</v>
      </c>
      <c r="E107" s="306">
        <f t="shared" si="14"/>
        <v>20293.191998499376</v>
      </c>
      <c r="F107" s="302">
        <f t="shared" si="9"/>
        <v>252447.30846133223</v>
      </c>
      <c r="G107" s="306">
        <f t="shared" si="15"/>
        <v>252447.30846133223</v>
      </c>
      <c r="H107" s="303">
        <f t="shared" si="18"/>
        <v>128.84531225033291</v>
      </c>
      <c r="I107" s="303">
        <f t="shared" si="13"/>
        <v>128.84531225033291</v>
      </c>
      <c r="J107" s="304">
        <v>109.17</v>
      </c>
      <c r="K107" s="289"/>
      <c r="L107" s="288"/>
    </row>
    <row r="108" spans="1:12" s="35" customFormat="1" x14ac:dyDescent="0.25">
      <c r="A108" s="291" t="s">
        <v>457</v>
      </c>
      <c r="B108" s="297" t="s">
        <v>456</v>
      </c>
      <c r="C108" s="302">
        <f t="shared" si="16"/>
        <v>178802.91817424999</v>
      </c>
      <c r="D108" s="306">
        <f t="shared" si="17"/>
        <v>11532.788222239125</v>
      </c>
      <c r="E108" s="306">
        <f t="shared" si="14"/>
        <v>16986.27722655375</v>
      </c>
      <c r="F108" s="302">
        <f t="shared" si="9"/>
        <v>211309.28869832863</v>
      </c>
      <c r="G108" s="306">
        <f t="shared" si="15"/>
        <v>211309.28869832863</v>
      </c>
      <c r="H108" s="303">
        <f t="shared" si="18"/>
        <v>107.84908521970705</v>
      </c>
      <c r="I108" s="303">
        <f t="shared" si="13"/>
        <v>107.84908521970705</v>
      </c>
      <c r="J108" s="304">
        <v>91.38</v>
      </c>
      <c r="K108" s="289"/>
      <c r="L108" s="288"/>
    </row>
    <row r="109" spans="1:12" s="35" customFormat="1" x14ac:dyDescent="0.25">
      <c r="A109" s="291" t="s">
        <v>459</v>
      </c>
      <c r="B109" s="297" t="s">
        <v>458</v>
      </c>
      <c r="C109" s="302">
        <f t="shared" si="16"/>
        <v>213612.547352625</v>
      </c>
      <c r="D109" s="306">
        <f t="shared" si="17"/>
        <v>13778.009304244313</v>
      </c>
      <c r="E109" s="306">
        <f t="shared" si="14"/>
        <v>20293.191998499376</v>
      </c>
      <c r="F109" s="302">
        <f t="shared" si="9"/>
        <v>252447.30846133223</v>
      </c>
      <c r="G109" s="306">
        <f t="shared" si="15"/>
        <v>252447.30846133223</v>
      </c>
      <c r="H109" s="303">
        <f t="shared" si="18"/>
        <v>128.84531225033291</v>
      </c>
      <c r="I109" s="303">
        <f t="shared" si="13"/>
        <v>128.84531225033291</v>
      </c>
      <c r="J109" s="304">
        <v>109.17</v>
      </c>
      <c r="K109" s="289"/>
      <c r="L109" s="288"/>
    </row>
    <row r="110" spans="1:12" x14ac:dyDescent="0.25">
      <c r="C110" s="84"/>
      <c r="D110" s="84"/>
      <c r="E110" s="84"/>
      <c r="F110" s="222"/>
      <c r="G110" s="84"/>
      <c r="H110" s="84"/>
      <c r="I110" s="84"/>
      <c r="J110" s="222"/>
      <c r="K110" s="222"/>
    </row>
    <row r="111" spans="1:12" x14ac:dyDescent="0.25">
      <c r="C111" s="84"/>
      <c r="D111" s="84"/>
      <c r="E111" s="84"/>
      <c r="F111" s="84"/>
      <c r="G111" s="84"/>
      <c r="H111" s="84"/>
      <c r="I111" s="84"/>
    </row>
    <row r="112" spans="1:12" x14ac:dyDescent="0.25">
      <c r="C112" s="84"/>
      <c r="D112" s="84"/>
      <c r="E112" s="84"/>
      <c r="F112" s="222"/>
      <c r="G112" s="84"/>
      <c r="H112" s="84"/>
      <c r="I112" s="84"/>
    </row>
    <row r="116" spans="3:9" x14ac:dyDescent="0.25">
      <c r="C116" s="84"/>
      <c r="D116" s="84"/>
      <c r="E116" s="84"/>
      <c r="F116" s="84"/>
      <c r="G116" s="84"/>
      <c r="H116" s="84"/>
      <c r="I116" s="84"/>
    </row>
    <row r="117" spans="3:9" x14ac:dyDescent="0.25">
      <c r="C117" s="84"/>
      <c r="D117" s="84"/>
      <c r="E117" s="84"/>
      <c r="F117" s="84"/>
      <c r="G117" s="84"/>
      <c r="H117" s="84"/>
      <c r="I117" s="84"/>
    </row>
    <row r="118" spans="3:9" x14ac:dyDescent="0.25">
      <c r="C118" s="84"/>
      <c r="D118" s="84"/>
      <c r="E118" s="84"/>
      <c r="F118" s="84"/>
      <c r="G118" s="84"/>
      <c r="H118" s="84"/>
      <c r="I118" s="84"/>
    </row>
    <row r="119" spans="3:9" x14ac:dyDescent="0.25">
      <c r="E119" s="84"/>
      <c r="F119" s="84"/>
      <c r="G119" s="84"/>
      <c r="H119" s="84"/>
      <c r="I119" s="84"/>
    </row>
    <row r="120" spans="3:9" x14ac:dyDescent="0.25">
      <c r="E120" s="84"/>
      <c r="F120" s="84"/>
      <c r="G120" s="84"/>
      <c r="H120" s="84"/>
      <c r="I120" s="84"/>
    </row>
    <row r="121" spans="3:9" x14ac:dyDescent="0.25">
      <c r="E121" s="84"/>
      <c r="F121" s="84"/>
      <c r="G121" s="84"/>
      <c r="H121" s="84"/>
      <c r="I121" s="84"/>
    </row>
    <row r="122" spans="3:9" x14ac:dyDescent="0.25">
      <c r="E122" s="84"/>
      <c r="F122" s="84"/>
      <c r="G122" s="84"/>
      <c r="H122" s="84"/>
      <c r="I122" s="84"/>
    </row>
    <row r="123" spans="3:9" x14ac:dyDescent="0.25">
      <c r="E123" s="84"/>
      <c r="F123" s="84"/>
      <c r="G123" s="84"/>
      <c r="H123" s="84"/>
      <c r="I123" s="84"/>
    </row>
    <row r="124" spans="3:9" x14ac:dyDescent="0.25">
      <c r="E124" s="84"/>
      <c r="F124" s="84"/>
      <c r="G124" s="84"/>
      <c r="H124" s="84"/>
      <c r="I124" s="84"/>
    </row>
    <row r="125" spans="3:9" x14ac:dyDescent="0.25">
      <c r="E125" s="84"/>
      <c r="F125" s="84"/>
      <c r="G125" s="84"/>
      <c r="H125" s="84"/>
      <c r="I125" s="84"/>
    </row>
    <row r="126" spans="3:9" x14ac:dyDescent="0.25">
      <c r="E126" s="84"/>
      <c r="F126" s="84"/>
      <c r="G126" s="84"/>
      <c r="H126" s="84"/>
      <c r="I126" s="84"/>
    </row>
    <row r="127" spans="3:9" x14ac:dyDescent="0.25">
      <c r="E127" s="84"/>
      <c r="F127" s="84"/>
      <c r="G127" s="84"/>
      <c r="H127" s="84"/>
      <c r="I127" s="84"/>
    </row>
    <row r="128" spans="3:9" x14ac:dyDescent="0.25">
      <c r="E128" s="84"/>
      <c r="F128" s="84"/>
      <c r="G128" s="84"/>
      <c r="H128" s="84"/>
      <c r="I128" s="84"/>
    </row>
    <row r="129" spans="3:9" x14ac:dyDescent="0.25">
      <c r="E129" s="84"/>
      <c r="F129" s="84"/>
      <c r="G129" s="84"/>
      <c r="H129" s="84"/>
      <c r="I129" s="84"/>
    </row>
    <row r="130" spans="3:9" x14ac:dyDescent="0.25">
      <c r="C130" s="80"/>
      <c r="D130" s="80"/>
      <c r="E130" s="80"/>
      <c r="F130" s="79"/>
      <c r="G130" s="79"/>
      <c r="H130" s="79"/>
      <c r="I130" s="79"/>
    </row>
    <row r="131" spans="3:9" x14ac:dyDescent="0.25">
      <c r="C131" s="80"/>
      <c r="D131" s="80"/>
      <c r="E131" s="80"/>
      <c r="F131" s="79"/>
      <c r="G131" s="79"/>
      <c r="H131" s="79"/>
      <c r="I131" s="79"/>
    </row>
    <row r="132" spans="3:9" x14ac:dyDescent="0.25">
      <c r="C132" s="80"/>
      <c r="D132" s="80"/>
      <c r="E132" s="80"/>
      <c r="F132" s="79"/>
      <c r="G132" s="79"/>
      <c r="H132" s="79"/>
      <c r="I132" s="79"/>
    </row>
    <row r="133" spans="3:9" x14ac:dyDescent="0.25">
      <c r="C133" s="80"/>
      <c r="D133" s="80"/>
      <c r="E133" s="80"/>
      <c r="F133" s="79"/>
      <c r="G133" s="79"/>
      <c r="H133" s="79"/>
      <c r="I133" s="79"/>
    </row>
    <row r="134" spans="3:9" x14ac:dyDescent="0.25">
      <c r="C134" s="80"/>
      <c r="D134" s="80"/>
      <c r="E134" s="80"/>
      <c r="F134" s="79"/>
      <c r="G134" s="79"/>
      <c r="H134" s="79"/>
      <c r="I134" s="79"/>
    </row>
    <row r="135" spans="3:9" x14ac:dyDescent="0.25">
      <c r="C135" s="80"/>
      <c r="D135" s="80"/>
      <c r="E135" s="80"/>
      <c r="F135" s="79"/>
      <c r="G135" s="79"/>
      <c r="H135" s="79"/>
      <c r="I135" s="79"/>
    </row>
    <row r="136" spans="3:9" x14ac:dyDescent="0.25">
      <c r="C136" s="80"/>
      <c r="D136" s="80"/>
      <c r="E136" s="80"/>
      <c r="F136" s="79"/>
      <c r="G136" s="79"/>
      <c r="H136" s="79"/>
      <c r="I136" s="79"/>
    </row>
    <row r="137" spans="3:9" x14ac:dyDescent="0.25">
      <c r="C137" s="80"/>
      <c r="D137" s="80"/>
      <c r="E137" s="80"/>
      <c r="F137" s="79"/>
      <c r="G137" s="79"/>
      <c r="H137" s="79"/>
      <c r="I137" s="79"/>
    </row>
    <row r="138" spans="3:9" x14ac:dyDescent="0.25">
      <c r="C138" s="80"/>
      <c r="D138" s="80"/>
      <c r="E138" s="80"/>
      <c r="F138" s="79"/>
      <c r="G138" s="79"/>
      <c r="H138" s="79"/>
      <c r="I138" s="79"/>
    </row>
    <row r="139" spans="3:9" x14ac:dyDescent="0.25">
      <c r="C139" s="80"/>
      <c r="D139" s="80"/>
      <c r="E139" s="80"/>
      <c r="F139" s="79"/>
      <c r="G139" s="79"/>
      <c r="H139" s="79"/>
      <c r="I139" s="79"/>
    </row>
    <row r="140" spans="3:9" x14ac:dyDescent="0.25">
      <c r="C140" s="80"/>
      <c r="D140" s="80"/>
      <c r="E140" s="80"/>
      <c r="F140" s="79"/>
      <c r="G140" s="79"/>
      <c r="H140" s="79"/>
      <c r="I140" s="79"/>
    </row>
    <row r="141" spans="3:9" x14ac:dyDescent="0.25">
      <c r="C141" s="80"/>
      <c r="D141" s="80"/>
      <c r="E141" s="80"/>
      <c r="F141" s="79"/>
      <c r="G141" s="79"/>
      <c r="H141" s="79"/>
      <c r="I141" s="79"/>
    </row>
    <row r="142" spans="3:9" x14ac:dyDescent="0.25">
      <c r="C142" s="80"/>
      <c r="D142" s="80"/>
      <c r="E142" s="80"/>
      <c r="F142" s="79"/>
      <c r="G142" s="79"/>
      <c r="H142" s="79"/>
      <c r="I142" s="79"/>
    </row>
    <row r="143" spans="3:9" x14ac:dyDescent="0.25">
      <c r="C143" s="80"/>
      <c r="D143" s="80"/>
      <c r="E143" s="80"/>
      <c r="F143" s="79"/>
      <c r="G143" s="79"/>
      <c r="H143" s="79"/>
      <c r="I143" s="79"/>
    </row>
    <row r="144" spans="3:9" x14ac:dyDescent="0.25">
      <c r="C144" s="80"/>
      <c r="D144" s="80"/>
      <c r="E144" s="80"/>
      <c r="F144" s="79"/>
      <c r="G144" s="79"/>
      <c r="H144" s="79"/>
      <c r="I144" s="79"/>
    </row>
    <row r="145" spans="3:9" x14ac:dyDescent="0.25">
      <c r="C145" s="80"/>
      <c r="D145" s="80"/>
      <c r="E145" s="80"/>
      <c r="F145" s="79"/>
      <c r="G145" s="79"/>
      <c r="H145" s="79"/>
      <c r="I145" s="79"/>
    </row>
    <row r="146" spans="3:9" x14ac:dyDescent="0.25">
      <c r="C146" s="80"/>
      <c r="D146" s="80"/>
      <c r="E146" s="80"/>
      <c r="F146" s="79"/>
      <c r="G146" s="79"/>
      <c r="H146" s="79"/>
      <c r="I146" s="79"/>
    </row>
    <row r="147" spans="3:9" x14ac:dyDescent="0.25">
      <c r="C147" s="80"/>
      <c r="D147" s="80"/>
      <c r="E147" s="80"/>
      <c r="F147" s="79"/>
      <c r="G147" s="79"/>
      <c r="H147" s="79"/>
      <c r="I147" s="79"/>
    </row>
    <row r="148" spans="3:9" x14ac:dyDescent="0.25">
      <c r="C148" s="80"/>
      <c r="D148" s="80"/>
      <c r="E148" s="80"/>
      <c r="F148" s="79"/>
      <c r="G148" s="79"/>
      <c r="H148" s="79"/>
      <c r="I148" s="79"/>
    </row>
    <row r="149" spans="3:9" x14ac:dyDescent="0.25">
      <c r="C149" s="80"/>
      <c r="D149" s="80"/>
      <c r="E149" s="80"/>
      <c r="F149" s="79"/>
      <c r="G149" s="79"/>
      <c r="H149" s="79"/>
      <c r="I149" s="79"/>
    </row>
    <row r="150" spans="3:9" x14ac:dyDescent="0.25">
      <c r="C150" s="80"/>
      <c r="D150" s="80"/>
      <c r="E150" s="80"/>
      <c r="F150" s="79"/>
      <c r="G150" s="79"/>
      <c r="H150" s="79"/>
      <c r="I150" s="79"/>
    </row>
    <row r="151" spans="3:9" x14ac:dyDescent="0.25">
      <c r="C151" s="80"/>
      <c r="D151" s="80"/>
      <c r="E151" s="80"/>
      <c r="F151" s="79"/>
      <c r="G151" s="79"/>
      <c r="H151" s="79"/>
      <c r="I151" s="79"/>
    </row>
    <row r="152" spans="3:9" x14ac:dyDescent="0.25">
      <c r="C152" s="80"/>
      <c r="D152" s="80"/>
      <c r="E152" s="80"/>
      <c r="F152" s="79"/>
      <c r="G152" s="79"/>
      <c r="H152" s="79"/>
      <c r="I152" s="79"/>
    </row>
    <row r="153" spans="3:9" x14ac:dyDescent="0.25">
      <c r="C153" s="80"/>
      <c r="D153" s="80"/>
      <c r="E153" s="80"/>
      <c r="F153" s="79"/>
      <c r="G153" s="79"/>
      <c r="H153" s="79"/>
      <c r="I153" s="79"/>
    </row>
    <row r="154" spans="3:9" x14ac:dyDescent="0.25">
      <c r="C154" s="80"/>
      <c r="D154" s="80"/>
      <c r="E154" s="80"/>
      <c r="F154" s="79"/>
      <c r="G154" s="79"/>
      <c r="H154" s="79"/>
      <c r="I154" s="79"/>
    </row>
    <row r="155" spans="3:9" x14ac:dyDescent="0.25">
      <c r="C155" s="80"/>
      <c r="D155" s="80"/>
      <c r="E155" s="80"/>
      <c r="F155" s="79"/>
      <c r="G155" s="79"/>
      <c r="H155" s="79"/>
      <c r="I155" s="79"/>
    </row>
    <row r="156" spans="3:9" x14ac:dyDescent="0.25">
      <c r="C156" s="80"/>
      <c r="D156" s="80"/>
      <c r="E156" s="80"/>
      <c r="F156" s="79"/>
      <c r="G156" s="79"/>
      <c r="H156" s="79"/>
      <c r="I156" s="79"/>
    </row>
    <row r="157" spans="3:9" x14ac:dyDescent="0.25">
      <c r="C157" s="80"/>
      <c r="D157" s="80"/>
      <c r="E157" s="80"/>
      <c r="F157" s="79"/>
      <c r="G157" s="79"/>
      <c r="H157" s="79"/>
      <c r="I157" s="79"/>
    </row>
    <row r="158" spans="3:9" x14ac:dyDescent="0.25">
      <c r="C158" s="80"/>
      <c r="D158" s="80"/>
      <c r="E158" s="80"/>
      <c r="F158" s="79"/>
      <c r="G158" s="79"/>
      <c r="H158" s="79"/>
      <c r="I158" s="79"/>
    </row>
    <row r="159" spans="3:9" x14ac:dyDescent="0.25">
      <c r="C159" s="80"/>
      <c r="D159" s="80"/>
      <c r="E159" s="80"/>
      <c r="F159" s="79"/>
      <c r="G159" s="79"/>
      <c r="H159" s="79"/>
      <c r="I159" s="79"/>
    </row>
    <row r="160" spans="3:9" x14ac:dyDescent="0.25">
      <c r="C160" s="80"/>
      <c r="D160" s="80"/>
      <c r="E160" s="80"/>
      <c r="F160" s="79"/>
      <c r="G160" s="79"/>
      <c r="H160" s="79"/>
      <c r="I160" s="79"/>
    </row>
    <row r="161" spans="3:9" x14ac:dyDescent="0.25">
      <c r="C161" s="80"/>
      <c r="D161" s="80"/>
      <c r="E161" s="80"/>
      <c r="F161" s="79"/>
      <c r="G161" s="79"/>
      <c r="H161" s="79"/>
      <c r="I161" s="79"/>
    </row>
    <row r="162" spans="3:9" x14ac:dyDescent="0.25">
      <c r="C162" s="80"/>
      <c r="D162" s="80"/>
      <c r="E162" s="80"/>
      <c r="F162" s="79"/>
      <c r="G162" s="79"/>
      <c r="H162" s="79"/>
      <c r="I162" s="79"/>
    </row>
    <row r="163" spans="3:9" x14ac:dyDescent="0.25">
      <c r="C163" s="80"/>
      <c r="D163" s="80"/>
      <c r="E163" s="80"/>
      <c r="F163" s="79"/>
      <c r="G163" s="79"/>
      <c r="H163" s="79"/>
      <c r="I163" s="79"/>
    </row>
    <row r="164" spans="3:9" x14ac:dyDescent="0.25">
      <c r="C164" s="80"/>
      <c r="D164" s="80"/>
      <c r="E164" s="80"/>
      <c r="F164" s="79"/>
      <c r="G164" s="79"/>
      <c r="H164" s="79"/>
      <c r="I164" s="79"/>
    </row>
    <row r="165" spans="3:9" x14ac:dyDescent="0.25">
      <c r="C165" s="80"/>
      <c r="D165" s="80"/>
      <c r="E165" s="80"/>
      <c r="F165" s="79"/>
      <c r="G165" s="79"/>
      <c r="H165" s="79"/>
      <c r="I165" s="79"/>
    </row>
    <row r="166" spans="3:9" x14ac:dyDescent="0.25">
      <c r="C166" s="80"/>
      <c r="D166" s="80"/>
      <c r="E166" s="80"/>
      <c r="F166" s="79"/>
      <c r="G166" s="79"/>
      <c r="H166" s="79"/>
      <c r="I166" s="79"/>
    </row>
    <row r="167" spans="3:9" x14ac:dyDescent="0.25">
      <c r="C167" s="80"/>
      <c r="D167" s="80"/>
      <c r="E167" s="80"/>
      <c r="F167" s="79"/>
      <c r="G167" s="79"/>
      <c r="H167" s="79"/>
      <c r="I167" s="79"/>
    </row>
    <row r="168" spans="3:9" x14ac:dyDescent="0.25">
      <c r="C168" s="80"/>
      <c r="D168" s="80"/>
      <c r="E168" s="80"/>
      <c r="F168" s="79"/>
      <c r="G168" s="79"/>
      <c r="H168" s="79"/>
      <c r="I168" s="79"/>
    </row>
    <row r="169" spans="3:9" x14ac:dyDescent="0.25">
      <c r="C169" s="80"/>
      <c r="D169" s="80"/>
      <c r="E169" s="80"/>
      <c r="F169" s="79"/>
      <c r="G169" s="79"/>
      <c r="H169" s="79"/>
      <c r="I169" s="79"/>
    </row>
    <row r="170" spans="3:9" x14ac:dyDescent="0.25">
      <c r="C170" s="80"/>
      <c r="D170" s="80"/>
      <c r="E170" s="80"/>
      <c r="F170" s="79"/>
      <c r="G170" s="79"/>
      <c r="H170" s="79"/>
      <c r="I170" s="79"/>
    </row>
    <row r="171" spans="3:9" x14ac:dyDescent="0.25">
      <c r="C171" s="80"/>
      <c r="D171" s="80"/>
      <c r="E171" s="80"/>
      <c r="F171" s="79"/>
      <c r="G171" s="79"/>
      <c r="H171" s="79"/>
      <c r="I171" s="79"/>
    </row>
    <row r="172" spans="3:9" x14ac:dyDescent="0.25">
      <c r="C172" s="80"/>
      <c r="D172" s="80"/>
      <c r="E172" s="80"/>
      <c r="F172" s="79"/>
      <c r="G172" s="79"/>
      <c r="H172" s="79"/>
      <c r="I172" s="79"/>
    </row>
    <row r="173" spans="3:9" x14ac:dyDescent="0.25">
      <c r="C173" s="80"/>
      <c r="D173" s="80"/>
      <c r="E173" s="80"/>
      <c r="F173" s="79"/>
      <c r="G173" s="79"/>
      <c r="H173" s="79"/>
      <c r="I173" s="79"/>
    </row>
    <row r="174" spans="3:9" x14ac:dyDescent="0.25">
      <c r="C174" s="80"/>
      <c r="D174" s="80"/>
      <c r="E174" s="80"/>
      <c r="F174" s="79"/>
      <c r="G174" s="79"/>
      <c r="H174" s="79"/>
      <c r="I174" s="79"/>
    </row>
    <row r="175" spans="3:9" x14ac:dyDescent="0.25">
      <c r="C175" s="80"/>
      <c r="D175" s="80"/>
      <c r="E175" s="80"/>
      <c r="F175" s="79"/>
      <c r="G175" s="79"/>
      <c r="H175" s="79"/>
      <c r="I175" s="79"/>
    </row>
    <row r="176" spans="3:9" x14ac:dyDescent="0.25">
      <c r="C176" s="80"/>
      <c r="D176" s="80"/>
      <c r="E176" s="80"/>
      <c r="F176" s="79"/>
      <c r="G176" s="79"/>
      <c r="H176" s="79"/>
      <c r="I176" s="79"/>
    </row>
    <row r="177" spans="3:9" x14ac:dyDescent="0.25">
      <c r="C177" s="80"/>
      <c r="D177" s="80"/>
      <c r="E177" s="80"/>
      <c r="F177" s="79"/>
      <c r="G177" s="79"/>
      <c r="H177" s="79"/>
      <c r="I177" s="79"/>
    </row>
    <row r="178" spans="3:9" x14ac:dyDescent="0.25">
      <c r="C178" s="80"/>
      <c r="D178" s="80"/>
      <c r="E178" s="80"/>
      <c r="F178" s="79"/>
      <c r="G178" s="79"/>
      <c r="H178" s="79"/>
      <c r="I178" s="79"/>
    </row>
    <row r="179" spans="3:9" x14ac:dyDescent="0.25">
      <c r="C179" s="80"/>
      <c r="D179" s="80"/>
      <c r="E179" s="80"/>
      <c r="F179" s="79"/>
      <c r="G179" s="79"/>
      <c r="H179" s="79"/>
      <c r="I179" s="79"/>
    </row>
    <row r="180" spans="3:9" x14ac:dyDescent="0.25">
      <c r="C180" s="80"/>
      <c r="D180" s="80"/>
      <c r="E180" s="80"/>
      <c r="F180" s="79"/>
      <c r="G180" s="79"/>
      <c r="H180" s="79"/>
      <c r="I180" s="79"/>
    </row>
    <row r="181" spans="3:9" x14ac:dyDescent="0.25">
      <c r="C181" s="80"/>
      <c r="D181" s="80"/>
      <c r="E181" s="80"/>
      <c r="F181" s="79"/>
      <c r="G181" s="79"/>
      <c r="H181" s="79"/>
      <c r="I181" s="79"/>
    </row>
    <row r="182" spans="3:9" x14ac:dyDescent="0.25">
      <c r="C182" s="80"/>
      <c r="D182" s="80"/>
      <c r="E182" s="80"/>
      <c r="F182" s="79"/>
      <c r="G182" s="79"/>
      <c r="H182" s="79"/>
      <c r="I182" s="79"/>
    </row>
    <row r="183" spans="3:9" x14ac:dyDescent="0.25">
      <c r="C183" s="80"/>
      <c r="D183" s="80"/>
      <c r="E183" s="80"/>
      <c r="F183" s="79"/>
      <c r="G183" s="79"/>
      <c r="H183" s="79"/>
      <c r="I183" s="79"/>
    </row>
    <row r="184" spans="3:9" x14ac:dyDescent="0.25">
      <c r="C184" s="80"/>
      <c r="D184" s="80"/>
      <c r="E184" s="80"/>
      <c r="F184" s="79"/>
      <c r="G184" s="79"/>
      <c r="H184" s="79"/>
      <c r="I184" s="79"/>
    </row>
    <row r="185" spans="3:9" x14ac:dyDescent="0.25">
      <c r="C185" s="80"/>
      <c r="D185" s="80"/>
      <c r="E185" s="80"/>
      <c r="F185" s="79"/>
      <c r="G185" s="79"/>
      <c r="H185" s="79"/>
      <c r="I185" s="79"/>
    </row>
    <row r="186" spans="3:9" x14ac:dyDescent="0.25">
      <c r="C186" s="80"/>
      <c r="D186" s="80"/>
      <c r="E186" s="80"/>
      <c r="F186" s="79"/>
      <c r="G186" s="79"/>
      <c r="H186" s="79"/>
      <c r="I186" s="79"/>
    </row>
    <row r="187" spans="3:9" x14ac:dyDescent="0.25">
      <c r="C187" s="80"/>
      <c r="D187" s="80"/>
      <c r="E187" s="80"/>
      <c r="F187" s="79"/>
      <c r="G187" s="79"/>
      <c r="H187" s="79"/>
      <c r="I187" s="79"/>
    </row>
    <row r="188" spans="3:9" x14ac:dyDescent="0.25">
      <c r="C188" s="80"/>
      <c r="D188" s="80"/>
      <c r="E188" s="80"/>
      <c r="F188" s="79"/>
      <c r="G188" s="79"/>
      <c r="H188" s="79"/>
      <c r="I188" s="79"/>
    </row>
    <row r="189" spans="3:9" x14ac:dyDescent="0.25">
      <c r="C189" s="80"/>
      <c r="D189" s="80"/>
      <c r="E189" s="80"/>
      <c r="F189" s="79"/>
      <c r="G189" s="79"/>
      <c r="H189" s="79"/>
      <c r="I189" s="79"/>
    </row>
    <row r="190" spans="3:9" x14ac:dyDescent="0.25">
      <c r="C190" s="80"/>
      <c r="D190" s="80"/>
      <c r="E190" s="80"/>
      <c r="F190" s="79"/>
      <c r="G190" s="79"/>
      <c r="H190" s="79"/>
      <c r="I190" s="79"/>
    </row>
    <row r="191" spans="3:9" x14ac:dyDescent="0.25">
      <c r="C191" s="80"/>
      <c r="D191" s="80"/>
      <c r="E191" s="80"/>
      <c r="F191" s="79"/>
      <c r="G191" s="79"/>
      <c r="H191" s="79"/>
      <c r="I191" s="79"/>
    </row>
    <row r="192" spans="3:9" x14ac:dyDescent="0.25">
      <c r="C192" s="80"/>
      <c r="D192" s="80"/>
      <c r="E192" s="80"/>
      <c r="F192" s="79"/>
      <c r="G192" s="79"/>
      <c r="H192" s="79"/>
      <c r="I192" s="79"/>
    </row>
    <row r="193" spans="3:9" x14ac:dyDescent="0.25">
      <c r="C193" s="80"/>
      <c r="D193" s="80"/>
      <c r="E193" s="80"/>
      <c r="F193" s="79"/>
      <c r="G193" s="79"/>
      <c r="H193" s="79"/>
      <c r="I193" s="79"/>
    </row>
    <row r="194" spans="3:9" x14ac:dyDescent="0.25">
      <c r="C194" s="80"/>
      <c r="D194" s="80"/>
      <c r="E194" s="80"/>
      <c r="F194" s="79"/>
      <c r="G194" s="79"/>
      <c r="H194" s="79"/>
      <c r="I194" s="79"/>
    </row>
    <row r="195" spans="3:9" x14ac:dyDescent="0.25">
      <c r="C195" s="80"/>
      <c r="D195" s="80"/>
      <c r="E195" s="80"/>
      <c r="F195" s="79"/>
      <c r="G195" s="79"/>
      <c r="H195" s="79"/>
      <c r="I195" s="79"/>
    </row>
    <row r="196" spans="3:9" x14ac:dyDescent="0.25">
      <c r="C196" s="80"/>
      <c r="D196" s="80"/>
      <c r="E196" s="80"/>
      <c r="F196" s="79"/>
      <c r="G196" s="79"/>
      <c r="H196" s="79"/>
      <c r="I196" s="79"/>
    </row>
    <row r="197" spans="3:9" x14ac:dyDescent="0.25">
      <c r="C197" s="80"/>
      <c r="D197" s="80"/>
      <c r="E197" s="80"/>
      <c r="F197" s="79"/>
      <c r="G197" s="79"/>
      <c r="H197" s="79"/>
      <c r="I197" s="79"/>
    </row>
    <row r="198" spans="3:9" x14ac:dyDescent="0.25">
      <c r="C198" s="80"/>
      <c r="D198" s="80"/>
      <c r="E198" s="80"/>
      <c r="F198" s="79"/>
      <c r="G198" s="79"/>
      <c r="H198" s="79"/>
      <c r="I198" s="79"/>
    </row>
    <row r="199" spans="3:9" x14ac:dyDescent="0.25">
      <c r="C199" s="80"/>
      <c r="D199" s="80"/>
      <c r="E199" s="80"/>
      <c r="F199" s="79"/>
      <c r="G199" s="79"/>
      <c r="H199" s="79"/>
      <c r="I199" s="79"/>
    </row>
    <row r="200" spans="3:9" x14ac:dyDescent="0.25">
      <c r="C200" s="80"/>
      <c r="D200" s="80"/>
      <c r="E200" s="80"/>
      <c r="F200" s="79"/>
      <c r="G200" s="79"/>
      <c r="H200" s="79"/>
      <c r="I200" s="79"/>
    </row>
    <row r="201" spans="3:9" x14ac:dyDescent="0.25">
      <c r="C201" s="80"/>
      <c r="D201" s="80"/>
      <c r="E201" s="80"/>
      <c r="F201" s="79"/>
      <c r="G201" s="79"/>
      <c r="H201" s="79"/>
      <c r="I201" s="79"/>
    </row>
    <row r="202" spans="3:9" x14ac:dyDescent="0.25">
      <c r="C202" s="80"/>
      <c r="D202" s="80"/>
      <c r="E202" s="80"/>
      <c r="F202" s="79"/>
      <c r="G202" s="79"/>
      <c r="H202" s="79"/>
      <c r="I202" s="79"/>
    </row>
    <row r="203" spans="3:9" x14ac:dyDescent="0.25">
      <c r="C203" s="80"/>
      <c r="D203" s="80"/>
      <c r="E203" s="80"/>
      <c r="F203" s="79"/>
      <c r="G203" s="79"/>
      <c r="H203" s="79"/>
      <c r="I203" s="79"/>
    </row>
    <row r="204" spans="3:9" x14ac:dyDescent="0.25">
      <c r="C204" s="80"/>
      <c r="D204" s="80"/>
      <c r="E204" s="80"/>
      <c r="F204" s="79"/>
      <c r="G204" s="79"/>
      <c r="H204" s="79"/>
      <c r="I204" s="79"/>
    </row>
    <row r="205" spans="3:9" x14ac:dyDescent="0.25">
      <c r="C205" s="80"/>
      <c r="D205" s="80"/>
      <c r="E205" s="80"/>
      <c r="F205" s="79"/>
      <c r="G205" s="79"/>
      <c r="H205" s="79"/>
      <c r="I205" s="79"/>
    </row>
    <row r="206" spans="3:9" x14ac:dyDescent="0.25">
      <c r="C206" s="80"/>
      <c r="D206" s="80"/>
      <c r="E206" s="80"/>
      <c r="F206" s="79"/>
      <c r="G206" s="79"/>
      <c r="H206" s="79"/>
      <c r="I206" s="79"/>
    </row>
    <row r="207" spans="3:9" x14ac:dyDescent="0.25">
      <c r="C207" s="80"/>
      <c r="D207" s="80"/>
      <c r="E207" s="80"/>
      <c r="F207" s="79"/>
      <c r="G207" s="79"/>
      <c r="H207" s="79"/>
      <c r="I207" s="79"/>
    </row>
    <row r="208" spans="3:9" x14ac:dyDescent="0.25">
      <c r="C208" s="80"/>
      <c r="D208" s="80"/>
      <c r="E208" s="80"/>
      <c r="F208" s="79"/>
      <c r="G208" s="79"/>
      <c r="H208" s="79"/>
      <c r="I208" s="79"/>
    </row>
    <row r="209" spans="3:9" x14ac:dyDescent="0.25">
      <c r="C209" s="80"/>
      <c r="D209" s="80"/>
      <c r="E209" s="80"/>
      <c r="F209" s="79"/>
      <c r="G209" s="79"/>
      <c r="H209" s="79"/>
      <c r="I209" s="79"/>
    </row>
    <row r="210" spans="3:9" x14ac:dyDescent="0.25">
      <c r="C210" s="80"/>
      <c r="D210" s="80"/>
      <c r="E210" s="80"/>
      <c r="F210" s="79"/>
      <c r="G210" s="79"/>
      <c r="H210" s="79"/>
      <c r="I210" s="79"/>
    </row>
    <row r="211" spans="3:9" x14ac:dyDescent="0.25">
      <c r="C211" s="80"/>
      <c r="D211" s="80"/>
      <c r="E211" s="80"/>
      <c r="F211" s="79"/>
      <c r="G211" s="79"/>
      <c r="H211" s="79"/>
      <c r="I211" s="79"/>
    </row>
    <row r="212" spans="3:9" x14ac:dyDescent="0.25">
      <c r="C212" s="80"/>
      <c r="D212" s="80"/>
      <c r="E212" s="80"/>
      <c r="F212" s="79"/>
      <c r="G212" s="79"/>
      <c r="H212" s="79"/>
      <c r="I212" s="79"/>
    </row>
    <row r="213" spans="3:9" x14ac:dyDescent="0.25">
      <c r="C213" s="80"/>
      <c r="D213" s="80"/>
      <c r="E213" s="80"/>
      <c r="F213" s="79"/>
      <c r="G213" s="79"/>
      <c r="H213" s="79"/>
      <c r="I213" s="79"/>
    </row>
    <row r="214" spans="3:9" x14ac:dyDescent="0.25">
      <c r="C214" s="80"/>
      <c r="D214" s="80"/>
      <c r="E214" s="80"/>
      <c r="F214" s="79"/>
      <c r="G214" s="79"/>
      <c r="H214" s="79"/>
      <c r="I214" s="79"/>
    </row>
    <row r="215" spans="3:9" x14ac:dyDescent="0.25">
      <c r="C215" s="80"/>
      <c r="D215" s="80"/>
      <c r="E215" s="80"/>
      <c r="F215" s="79"/>
      <c r="G215" s="79"/>
      <c r="H215" s="79"/>
      <c r="I215" s="79"/>
    </row>
    <row r="216" spans="3:9" x14ac:dyDescent="0.25">
      <c r="C216" s="80"/>
      <c r="D216" s="80"/>
      <c r="E216" s="80"/>
      <c r="F216" s="79"/>
      <c r="G216" s="79"/>
      <c r="H216" s="79"/>
      <c r="I216" s="79"/>
    </row>
    <row r="217" spans="3:9" x14ac:dyDescent="0.25">
      <c r="C217" s="80"/>
      <c r="D217" s="80"/>
      <c r="E217" s="80"/>
      <c r="F217" s="79"/>
      <c r="G217" s="79"/>
      <c r="H217" s="79"/>
      <c r="I217" s="79"/>
    </row>
    <row r="218" spans="3:9" x14ac:dyDescent="0.25">
      <c r="C218" s="80"/>
      <c r="D218" s="80"/>
      <c r="E218" s="80"/>
      <c r="F218" s="79"/>
      <c r="G218" s="79"/>
      <c r="H218" s="79"/>
      <c r="I218" s="79"/>
    </row>
    <row r="219" spans="3:9" x14ac:dyDescent="0.25">
      <c r="C219" s="80"/>
      <c r="D219" s="80"/>
      <c r="E219" s="80"/>
      <c r="F219" s="79"/>
      <c r="G219" s="79"/>
      <c r="H219" s="79"/>
      <c r="I219" s="79"/>
    </row>
    <row r="220" spans="3:9" x14ac:dyDescent="0.25">
      <c r="C220" s="80"/>
      <c r="D220" s="80"/>
      <c r="E220" s="80"/>
      <c r="F220" s="79"/>
      <c r="G220" s="79"/>
      <c r="H220" s="79"/>
      <c r="I220" s="79"/>
    </row>
    <row r="221" spans="3:9" x14ac:dyDescent="0.25">
      <c r="C221" s="80"/>
      <c r="D221" s="80"/>
      <c r="E221" s="80"/>
      <c r="F221" s="79"/>
      <c r="G221" s="79"/>
      <c r="H221" s="79"/>
      <c r="I221" s="79"/>
    </row>
    <row r="222" spans="3:9" x14ac:dyDescent="0.25">
      <c r="C222" s="80"/>
      <c r="D222" s="80"/>
      <c r="E222" s="80"/>
      <c r="F222" s="79"/>
      <c r="G222" s="79"/>
      <c r="H222" s="79"/>
      <c r="I222" s="79"/>
    </row>
    <row r="223" spans="3:9" x14ac:dyDescent="0.25">
      <c r="C223" s="80"/>
      <c r="D223" s="80"/>
      <c r="E223" s="80"/>
      <c r="F223" s="79"/>
      <c r="G223" s="79"/>
      <c r="H223" s="79"/>
      <c r="I223" s="79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topLeftCell="A22" workbookViewId="0">
      <selection activeCell="O28" sqref="O28"/>
    </sheetView>
  </sheetViews>
  <sheetFormatPr defaultRowHeight="15" x14ac:dyDescent="0.25"/>
  <cols>
    <col min="1" max="1" width="10.5703125" customWidth="1"/>
    <col min="2" max="2" width="20.85546875" style="294" customWidth="1"/>
    <col min="3" max="3" width="9.42578125" customWidth="1"/>
    <col min="4" max="4" width="11.140625" customWidth="1"/>
    <col min="5" max="5" width="9.7109375" customWidth="1"/>
    <col min="6" max="6" width="12.28515625" customWidth="1"/>
    <col min="7" max="7" width="12.42578125" customWidth="1"/>
    <col min="8" max="8" width="10.7109375" customWidth="1"/>
    <col min="9" max="9" width="10.85546875" customWidth="1"/>
    <col min="11" max="11" width="5.140625" customWidth="1"/>
    <col min="12" max="12" width="18.42578125" customWidth="1"/>
    <col min="13" max="13" width="12.28515625" customWidth="1"/>
    <col min="14" max="14" width="4.42578125" customWidth="1"/>
    <col min="15" max="15" width="23.140625" customWidth="1"/>
    <col min="19" max="19" width="16" customWidth="1"/>
  </cols>
  <sheetData>
    <row r="1" spans="1:21" ht="16.5" thickBot="1" x14ac:dyDescent="0.3">
      <c r="A1" s="309" t="s">
        <v>485</v>
      </c>
      <c r="B1" s="310"/>
      <c r="C1" s="311"/>
      <c r="D1" s="311"/>
      <c r="E1" s="311"/>
      <c r="F1" s="311"/>
      <c r="G1" s="311"/>
      <c r="H1" s="311"/>
      <c r="I1" s="316"/>
      <c r="J1" s="312"/>
      <c r="L1" s="95" t="s">
        <v>487</v>
      </c>
      <c r="M1" s="256">
        <f>'Budgeted Staff Costs'!G5</f>
        <v>0</v>
      </c>
      <c r="N1" s="321"/>
    </row>
    <row r="2" spans="1:21" ht="30" x14ac:dyDescent="0.25">
      <c r="A2" s="313" t="s">
        <v>203</v>
      </c>
      <c r="B2" s="314"/>
      <c r="C2" s="315"/>
      <c r="D2" s="315"/>
      <c r="E2" s="315"/>
      <c r="F2" s="287" t="s">
        <v>466</v>
      </c>
      <c r="G2" s="287" t="s">
        <v>60</v>
      </c>
      <c r="I2" s="100"/>
      <c r="J2" s="82"/>
    </row>
    <row r="3" spans="1:21" ht="60" x14ac:dyDescent="0.25">
      <c r="A3" s="2"/>
      <c r="B3" s="293" t="s">
        <v>201</v>
      </c>
      <c r="C3" s="258" t="s">
        <v>53</v>
      </c>
      <c r="D3" s="258" t="s">
        <v>170</v>
      </c>
      <c r="E3" s="292" t="s">
        <v>169</v>
      </c>
      <c r="F3" s="258" t="s">
        <v>468</v>
      </c>
      <c r="G3" s="258" t="s">
        <v>467</v>
      </c>
      <c r="H3" s="258" t="s">
        <v>465</v>
      </c>
      <c r="I3" s="99"/>
      <c r="J3" s="82"/>
      <c r="L3" s="262" t="s">
        <v>414</v>
      </c>
      <c r="M3" s="258" t="s">
        <v>486</v>
      </c>
      <c r="N3" s="322"/>
      <c r="O3" s="258" t="s">
        <v>469</v>
      </c>
      <c r="P3" s="258" t="s">
        <v>474</v>
      </c>
    </row>
    <row r="4" spans="1:21" x14ac:dyDescent="0.25">
      <c r="B4" s="294" t="s">
        <v>173</v>
      </c>
      <c r="C4" s="87">
        <v>185055.64164561636</v>
      </c>
      <c r="D4" s="87">
        <v>13562.111405988891</v>
      </c>
      <c r="E4" s="87">
        <v>31255.459079754786</v>
      </c>
      <c r="F4" s="87">
        <f>C4*1.1818</f>
        <v>218698.75729678941</v>
      </c>
      <c r="G4" s="87">
        <f>C4*1.2568</f>
        <v>232577.93042021061</v>
      </c>
      <c r="H4" s="86">
        <f>G4/52.178571/37.5</f>
        <v>118.86255268544916</v>
      </c>
      <c r="I4" s="98"/>
      <c r="L4" s="248" t="s">
        <v>278</v>
      </c>
      <c r="M4" s="87">
        <f>C4</f>
        <v>185055.64164561636</v>
      </c>
      <c r="N4" s="249"/>
      <c r="O4" s="250" t="s">
        <v>470</v>
      </c>
      <c r="P4" s="323">
        <v>25.68</v>
      </c>
      <c r="S4" t="s">
        <v>476</v>
      </c>
    </row>
    <row r="5" spans="1:21" x14ac:dyDescent="0.25">
      <c r="B5" s="294" t="s">
        <v>174</v>
      </c>
      <c r="C5" s="87">
        <v>158517.83900327553</v>
      </c>
      <c r="D5" s="87">
        <v>11604.550394076621</v>
      </c>
      <c r="E5" s="87">
        <v>26744.032630556845</v>
      </c>
      <c r="F5" s="87">
        <f t="shared" ref="F5:F28" si="0">C5*1.1818</f>
        <v>187336.382134071</v>
      </c>
      <c r="G5" s="87">
        <f t="shared" ref="G5:G28" si="1">C5*1.2568</f>
        <v>199225.22005931666</v>
      </c>
      <c r="H5" s="86">
        <f t="shared" ref="H5:H28" si="2">G5/52.178571/37.5</f>
        <v>101.8171336067274</v>
      </c>
      <c r="I5" s="98"/>
      <c r="L5" s="248" t="s">
        <v>277</v>
      </c>
      <c r="M5" s="87">
        <f t="shared" ref="M5:M28" si="3">C5</f>
        <v>158517.83900327553</v>
      </c>
      <c r="N5" s="249"/>
      <c r="O5" s="250" t="s">
        <v>471</v>
      </c>
      <c r="P5" s="323">
        <v>17</v>
      </c>
      <c r="S5" t="s">
        <v>197</v>
      </c>
    </row>
    <row r="6" spans="1:21" x14ac:dyDescent="0.25">
      <c r="B6" s="294" t="s">
        <v>175</v>
      </c>
      <c r="C6" s="87">
        <v>157718.20666252993</v>
      </c>
      <c r="D6" s="87">
        <v>11545.565514461519</v>
      </c>
      <c r="E6" s="87">
        <v>26608.095132630093</v>
      </c>
      <c r="F6" s="87">
        <f t="shared" si="0"/>
        <v>186391.37663377787</v>
      </c>
      <c r="G6" s="87">
        <f t="shared" si="1"/>
        <v>198220.2421334676</v>
      </c>
      <c r="H6" s="86">
        <f t="shared" si="2"/>
        <v>101.30352407617941</v>
      </c>
      <c r="I6" s="98"/>
      <c r="L6" s="248" t="s">
        <v>279</v>
      </c>
      <c r="M6" s="87">
        <f t="shared" si="3"/>
        <v>157718.20666252993</v>
      </c>
      <c r="N6" s="249"/>
      <c r="O6" s="250"/>
      <c r="P6" s="323">
        <f>P4-P5</f>
        <v>8.68</v>
      </c>
      <c r="S6" t="s">
        <v>477</v>
      </c>
      <c r="T6" s="84">
        <v>68722.289999999994</v>
      </c>
    </row>
    <row r="7" spans="1:21" x14ac:dyDescent="0.25">
      <c r="B7" s="294" t="s">
        <v>176</v>
      </c>
      <c r="C7" s="87">
        <v>152892.61400755416</v>
      </c>
      <c r="D7" s="87">
        <v>11189.605672267235</v>
      </c>
      <c r="E7" s="87">
        <v>25787.74438128421</v>
      </c>
      <c r="F7" s="87">
        <f t="shared" si="0"/>
        <v>180688.49123412749</v>
      </c>
      <c r="G7" s="87">
        <f t="shared" si="1"/>
        <v>192155.43728469405</v>
      </c>
      <c r="H7" s="86">
        <f t="shared" si="2"/>
        <v>98.204011647971498</v>
      </c>
      <c r="L7" s="248" t="s">
        <v>280</v>
      </c>
      <c r="M7" s="87">
        <f t="shared" si="3"/>
        <v>152892.61400755416</v>
      </c>
      <c r="N7" s="249"/>
      <c r="O7" s="250" t="s">
        <v>472</v>
      </c>
      <c r="P7" s="324">
        <v>9.5</v>
      </c>
      <c r="S7" t="s">
        <v>478</v>
      </c>
      <c r="T7" s="84">
        <v>893.39</v>
      </c>
      <c r="U7" s="170">
        <f>T7/$T$6</f>
        <v>1.300000334680349E-2</v>
      </c>
    </row>
    <row r="8" spans="1:21" x14ac:dyDescent="0.25">
      <c r="B8" s="294" t="s">
        <v>177</v>
      </c>
      <c r="C8" s="87">
        <v>148070.60086583209</v>
      </c>
      <c r="D8" s="87">
        <v>10833.909872868106</v>
      </c>
      <c r="E8" s="87">
        <v>24968.002147191462</v>
      </c>
      <c r="F8" s="87">
        <f t="shared" si="0"/>
        <v>174989.83610324035</v>
      </c>
      <c r="G8" s="87">
        <f t="shared" si="1"/>
        <v>186095.13116817776</v>
      </c>
      <c r="H8" s="86">
        <f t="shared" si="2"/>
        <v>95.10679836654414</v>
      </c>
      <c r="L8" s="248" t="s">
        <v>281</v>
      </c>
      <c r="M8" s="87">
        <f t="shared" si="3"/>
        <v>148070.60086583209</v>
      </c>
      <c r="N8" s="249"/>
      <c r="O8" s="250" t="s">
        <v>473</v>
      </c>
      <c r="P8" s="324">
        <f>P6+P7</f>
        <v>18.18</v>
      </c>
      <c r="S8" t="s">
        <v>479</v>
      </c>
      <c r="T8" s="84">
        <v>687.22</v>
      </c>
      <c r="U8" s="170">
        <f t="shared" ref="U8:U13" si="4">T8/$T$6</f>
        <v>9.9999578011733901E-3</v>
      </c>
    </row>
    <row r="9" spans="1:21" x14ac:dyDescent="0.25">
      <c r="B9" s="294" t="s">
        <v>178</v>
      </c>
      <c r="C9" s="87">
        <v>138016.38338788773</v>
      </c>
      <c r="D9" s="87">
        <v>10092.260520607542</v>
      </c>
      <c r="E9" s="87">
        <v>23258.78517594092</v>
      </c>
      <c r="F9" s="87">
        <f t="shared" si="0"/>
        <v>163107.76188780571</v>
      </c>
      <c r="G9" s="87">
        <f t="shared" si="1"/>
        <v>173458.99064189728</v>
      </c>
      <c r="H9" s="86">
        <f t="shared" si="2"/>
        <v>88.648903086746628</v>
      </c>
      <c r="L9" s="248" t="s">
        <v>282</v>
      </c>
      <c r="M9" s="87">
        <f t="shared" si="3"/>
        <v>138016.38338788773</v>
      </c>
      <c r="N9" s="249"/>
      <c r="O9" s="250"/>
      <c r="S9" t="s">
        <v>480</v>
      </c>
      <c r="T9" s="84">
        <v>3745.36</v>
      </c>
      <c r="U9" s="170">
        <f t="shared" si="4"/>
        <v>5.4499930080909711E-2</v>
      </c>
    </row>
    <row r="10" spans="1:21" x14ac:dyDescent="0.25">
      <c r="B10" s="294" t="s">
        <v>179</v>
      </c>
      <c r="C10" s="87">
        <v>137416.22002182636</v>
      </c>
      <c r="D10" s="87">
        <v>10047.989469910022</v>
      </c>
      <c r="E10" s="87">
        <v>23156.757403710486</v>
      </c>
      <c r="F10" s="87">
        <f t="shared" si="0"/>
        <v>162398.4888217944</v>
      </c>
      <c r="G10" s="87">
        <f t="shared" si="1"/>
        <v>172704.70532343135</v>
      </c>
      <c r="H10" s="86">
        <f t="shared" si="2"/>
        <v>88.263413895042007</v>
      </c>
      <c r="I10" s="98"/>
      <c r="L10" s="248" t="s">
        <v>283</v>
      </c>
      <c r="M10" s="87">
        <f t="shared" si="3"/>
        <v>137416.22002182636</v>
      </c>
      <c r="N10" s="249"/>
      <c r="O10" s="250"/>
      <c r="S10" t="s">
        <v>169</v>
      </c>
      <c r="T10" s="84">
        <v>11682.79</v>
      </c>
      <c r="U10" s="170">
        <f t="shared" si="4"/>
        <v>0.1700000101859237</v>
      </c>
    </row>
    <row r="11" spans="1:21" x14ac:dyDescent="0.25">
      <c r="B11" s="294" t="s">
        <v>180</v>
      </c>
      <c r="C11" s="87">
        <v>133795.16519273006</v>
      </c>
      <c r="D11" s="87">
        <v>9780.8823604417339</v>
      </c>
      <c r="E11" s="87">
        <v>22541.178082764112</v>
      </c>
      <c r="F11" s="87">
        <f t="shared" si="0"/>
        <v>158119.12622476838</v>
      </c>
      <c r="G11" s="87">
        <f t="shared" si="1"/>
        <v>168153.76361422313</v>
      </c>
      <c r="H11" s="86">
        <f t="shared" si="2"/>
        <v>85.937584665665739</v>
      </c>
      <c r="I11" s="98"/>
      <c r="L11" s="248" t="s">
        <v>284</v>
      </c>
      <c r="M11" s="87">
        <f t="shared" si="3"/>
        <v>133795.16519273006</v>
      </c>
      <c r="N11" s="249"/>
      <c r="O11" s="250"/>
      <c r="S11" t="s">
        <v>481</v>
      </c>
      <c r="T11" s="84">
        <v>636.71</v>
      </c>
      <c r="U11" s="170">
        <f t="shared" si="4"/>
        <v>9.2649706521712259E-3</v>
      </c>
    </row>
    <row r="12" spans="1:21" x14ac:dyDescent="0.25">
      <c r="B12" s="294" t="s">
        <v>181</v>
      </c>
      <c r="C12" s="87">
        <v>130179.92244944585</v>
      </c>
      <c r="D12" s="87">
        <v>9514.2039794833745</v>
      </c>
      <c r="E12" s="87">
        <v>21926.586816405797</v>
      </c>
      <c r="F12" s="87">
        <f t="shared" si="0"/>
        <v>153846.6323507551</v>
      </c>
      <c r="G12" s="87">
        <f t="shared" si="1"/>
        <v>163610.12653446352</v>
      </c>
      <c r="H12" s="86">
        <f t="shared" si="2"/>
        <v>83.6154885802774</v>
      </c>
      <c r="I12" s="98"/>
      <c r="L12" s="248" t="s">
        <v>285</v>
      </c>
      <c r="M12" s="87">
        <f t="shared" si="3"/>
        <v>130179.92244944585</v>
      </c>
      <c r="N12" s="249"/>
      <c r="O12" s="250"/>
      <c r="S12" t="s">
        <v>482</v>
      </c>
      <c r="T12" s="84">
        <f>SUM(T7:T11)</f>
        <v>17645.47</v>
      </c>
      <c r="U12" s="170">
        <f t="shared" si="4"/>
        <v>0.25676487206698151</v>
      </c>
    </row>
    <row r="13" spans="1:21" x14ac:dyDescent="0.25">
      <c r="B13" s="294" t="s">
        <v>182</v>
      </c>
      <c r="C13" s="87">
        <v>126561.0384129212</v>
      </c>
      <c r="D13" s="87">
        <v>9247.2569985291339</v>
      </c>
      <c r="E13" s="87">
        <v>21311.376530196609</v>
      </c>
      <c r="F13" s="87">
        <f t="shared" si="0"/>
        <v>149569.83519639028</v>
      </c>
      <c r="G13" s="87">
        <f t="shared" si="1"/>
        <v>159061.91307735935</v>
      </c>
      <c r="H13" s="86">
        <f t="shared" si="2"/>
        <v>81.291053666384414</v>
      </c>
      <c r="I13" s="98"/>
      <c r="L13" s="248" t="s">
        <v>286</v>
      </c>
      <c r="M13" s="87">
        <f t="shared" si="3"/>
        <v>126561.0384129212</v>
      </c>
      <c r="N13" s="249"/>
      <c r="O13" s="250"/>
      <c r="S13" t="s">
        <v>483</v>
      </c>
      <c r="T13" s="84">
        <f>T6+T12</f>
        <v>86367.76</v>
      </c>
      <c r="U13" s="170">
        <f t="shared" si="4"/>
        <v>1.2567648720669815</v>
      </c>
    </row>
    <row r="14" spans="1:21" x14ac:dyDescent="0.25">
      <c r="B14" s="294" t="s">
        <v>183</v>
      </c>
      <c r="C14" s="87">
        <v>122946.8734632859</v>
      </c>
      <c r="D14" s="87">
        <v>8980.6581210192853</v>
      </c>
      <c r="E14" s="87">
        <v>20696.968488758605</v>
      </c>
      <c r="F14" s="87">
        <f t="shared" si="0"/>
        <v>145298.61505891127</v>
      </c>
      <c r="G14" s="87">
        <f t="shared" si="1"/>
        <v>154519.63056865771</v>
      </c>
      <c r="H14" s="86">
        <f t="shared" si="2"/>
        <v>78.969649855510085</v>
      </c>
      <c r="I14" s="98"/>
      <c r="L14" s="248" t="s">
        <v>287</v>
      </c>
      <c r="M14" s="87">
        <f t="shared" si="3"/>
        <v>122946.8734632859</v>
      </c>
      <c r="N14" s="249"/>
      <c r="O14" s="250"/>
      <c r="T14" s="84"/>
    </row>
    <row r="15" spans="1:21" x14ac:dyDescent="0.25">
      <c r="B15" s="294" t="s">
        <v>184</v>
      </c>
      <c r="C15" s="87">
        <v>116309.46587692086</v>
      </c>
      <c r="D15" s="87">
        <v>8491.0497504110681</v>
      </c>
      <c r="E15" s="87">
        <v>19568.609199076549</v>
      </c>
      <c r="F15" s="87">
        <f t="shared" si="0"/>
        <v>137454.52677334507</v>
      </c>
      <c r="G15" s="87">
        <f t="shared" si="1"/>
        <v>146177.73671411414</v>
      </c>
      <c r="H15" s="86">
        <f t="shared" si="2"/>
        <v>74.706395831404507</v>
      </c>
      <c r="I15" s="98"/>
      <c r="L15" s="248" t="s">
        <v>288</v>
      </c>
      <c r="M15" s="87">
        <f t="shared" si="3"/>
        <v>116309.46587692086</v>
      </c>
      <c r="N15" s="249"/>
      <c r="O15" s="250"/>
      <c r="S15" t="s">
        <v>185</v>
      </c>
    </row>
    <row r="16" spans="1:21" x14ac:dyDescent="0.25">
      <c r="B16" s="294" t="s">
        <v>185</v>
      </c>
      <c r="C16" s="87">
        <v>115708.90309160153</v>
      </c>
      <c r="D16" s="87">
        <v>8446.7492365519865</v>
      </c>
      <c r="E16" s="87">
        <v>19466.513525572263</v>
      </c>
      <c r="F16" s="87">
        <f t="shared" si="0"/>
        <v>136744.78167365468</v>
      </c>
      <c r="G16" s="87">
        <f t="shared" si="1"/>
        <v>145422.94940552479</v>
      </c>
      <c r="H16" s="86">
        <f t="shared" si="2"/>
        <v>74.320650089874277</v>
      </c>
      <c r="I16" s="98"/>
      <c r="L16" s="248" t="s">
        <v>289</v>
      </c>
      <c r="M16" s="87">
        <f t="shared" si="3"/>
        <v>115708.90309160153</v>
      </c>
      <c r="N16" s="249"/>
      <c r="O16" s="250"/>
      <c r="S16" t="s">
        <v>477</v>
      </c>
      <c r="T16" s="84">
        <v>110382.02</v>
      </c>
    </row>
    <row r="17" spans="1:21" x14ac:dyDescent="0.25">
      <c r="B17" s="294" t="s">
        <v>186</v>
      </c>
      <c r="C17" s="87">
        <v>112086.23899658908</v>
      </c>
      <c r="D17" s="87">
        <v>8179.5234195833937</v>
      </c>
      <c r="E17" s="87">
        <v>18850.660629420145</v>
      </c>
      <c r="F17" s="87">
        <f t="shared" si="0"/>
        <v>132463.51724616898</v>
      </c>
      <c r="G17" s="87">
        <f t="shared" si="1"/>
        <v>140869.98517091313</v>
      </c>
      <c r="H17" s="86">
        <f t="shared" si="2"/>
        <v>71.993787217572844</v>
      </c>
      <c r="I17" s="98"/>
      <c r="L17" s="248" t="s">
        <v>290</v>
      </c>
      <c r="M17" s="87">
        <f t="shared" si="3"/>
        <v>112086.23899658908</v>
      </c>
      <c r="N17" s="249"/>
      <c r="O17" s="250"/>
      <c r="S17" t="s">
        <v>478</v>
      </c>
      <c r="T17" s="84">
        <v>1434.97</v>
      </c>
      <c r="U17" s="170">
        <f>T17/$T$16</f>
        <v>1.3000033882329749E-2</v>
      </c>
    </row>
    <row r="18" spans="1:21" x14ac:dyDescent="0.25">
      <c r="B18" s="294" t="s">
        <v>187</v>
      </c>
      <c r="C18" s="87">
        <v>108472.46511016025</v>
      </c>
      <c r="D18" s="87">
        <v>7912.9533888509723</v>
      </c>
      <c r="E18" s="87">
        <v>18236.319068727247</v>
      </c>
      <c r="F18" s="87">
        <f t="shared" si="0"/>
        <v>128192.75926718739</v>
      </c>
      <c r="G18" s="87">
        <f t="shared" si="1"/>
        <v>136328.19415044939</v>
      </c>
      <c r="H18" s="86">
        <f t="shared" si="2"/>
        <v>69.672634589372919</v>
      </c>
      <c r="I18" s="98"/>
      <c r="L18" s="248" t="s">
        <v>291</v>
      </c>
      <c r="M18" s="87">
        <f t="shared" si="3"/>
        <v>108472.46511016025</v>
      </c>
      <c r="N18" s="249"/>
      <c r="O18" s="250"/>
      <c r="S18" t="s">
        <v>479</v>
      </c>
      <c r="T18" s="84">
        <v>1103.82</v>
      </c>
      <c r="U18" s="170">
        <f t="shared" ref="U18:U23" si="5">T18/$T$16</f>
        <v>9.9999981881107071E-3</v>
      </c>
    </row>
    <row r="19" spans="1:21" x14ac:dyDescent="0.25">
      <c r="B19" s="294" t="s">
        <v>188</v>
      </c>
      <c r="C19" s="87">
        <v>104850.04328584527</v>
      </c>
      <c r="D19" s="87">
        <v>7645.7454429803774</v>
      </c>
      <c r="E19" s="87">
        <v>17620.507358593699</v>
      </c>
      <c r="F19" s="87">
        <f t="shared" si="0"/>
        <v>123911.78115521194</v>
      </c>
      <c r="G19" s="87">
        <f t="shared" si="1"/>
        <v>131775.53440165034</v>
      </c>
      <c r="H19" s="86">
        <f t="shared" si="2"/>
        <v>67.345927329260817</v>
      </c>
      <c r="I19" s="98"/>
      <c r="L19" s="248" t="s">
        <v>292</v>
      </c>
      <c r="M19" s="87">
        <f t="shared" si="3"/>
        <v>104850.04328584527</v>
      </c>
      <c r="N19" s="249"/>
      <c r="O19" s="250"/>
      <c r="S19" t="s">
        <v>480</v>
      </c>
      <c r="T19" s="84">
        <v>6015.82</v>
      </c>
      <c r="U19" s="170">
        <f t="shared" si="5"/>
        <v>5.4499999184649817E-2</v>
      </c>
    </row>
    <row r="20" spans="1:21" x14ac:dyDescent="0.25">
      <c r="B20" s="294" t="s">
        <v>189</v>
      </c>
      <c r="C20" s="87">
        <v>101233.44195818754</v>
      </c>
      <c r="D20" s="87">
        <v>7378.9668460457042</v>
      </c>
      <c r="E20" s="87">
        <v>17005.685132891886</v>
      </c>
      <c r="F20" s="87">
        <f t="shared" si="0"/>
        <v>119637.68170618603</v>
      </c>
      <c r="G20" s="87">
        <f t="shared" si="1"/>
        <v>127230.18985305009</v>
      </c>
      <c r="H20" s="86">
        <f t="shared" si="2"/>
        <v>65.022958615482253</v>
      </c>
      <c r="I20" s="98"/>
      <c r="L20" s="248" t="s">
        <v>293</v>
      </c>
      <c r="M20" s="87">
        <f t="shared" si="3"/>
        <v>101233.44195818754</v>
      </c>
      <c r="N20" s="249"/>
      <c r="O20" s="250"/>
      <c r="S20" t="s">
        <v>169</v>
      </c>
      <c r="T20" s="84">
        <v>18764.939999999999</v>
      </c>
      <c r="U20" s="170">
        <f t="shared" si="5"/>
        <v>0.16999996919788202</v>
      </c>
    </row>
    <row r="21" spans="1:21" x14ac:dyDescent="0.25">
      <c r="B21" s="294" t="s">
        <v>190</v>
      </c>
      <c r="C21" s="87">
        <v>93385.853710738855</v>
      </c>
      <c r="D21" s="87">
        <v>6800.2048361033103</v>
      </c>
      <c r="E21" s="87">
        <v>15671.860938623504</v>
      </c>
      <c r="F21" s="87">
        <f t="shared" si="0"/>
        <v>110363.40191535118</v>
      </c>
      <c r="G21" s="87">
        <f t="shared" si="1"/>
        <v>117367.34094365659</v>
      </c>
      <c r="H21" s="86">
        <f t="shared" si="2"/>
        <v>59.982396959424378</v>
      </c>
      <c r="I21" s="98"/>
      <c r="L21" s="248" t="s">
        <v>294</v>
      </c>
      <c r="M21" s="87">
        <f t="shared" si="3"/>
        <v>93385.853710738855</v>
      </c>
      <c r="N21" s="249"/>
      <c r="O21" s="250"/>
      <c r="S21" t="s">
        <v>481</v>
      </c>
      <c r="T21" s="84">
        <v>1022</v>
      </c>
      <c r="U21" s="170">
        <f t="shared" si="5"/>
        <v>9.2587542790030473E-3</v>
      </c>
    </row>
    <row r="22" spans="1:21" x14ac:dyDescent="0.25">
      <c r="B22" s="294" t="s">
        <v>191</v>
      </c>
      <c r="C22" s="87">
        <v>92859.910970986981</v>
      </c>
      <c r="D22" s="87">
        <v>6761.9065476553369</v>
      </c>
      <c r="E22" s="87">
        <v>15583.598089899102</v>
      </c>
      <c r="F22" s="87">
        <f t="shared" si="0"/>
        <v>109741.84278551242</v>
      </c>
      <c r="G22" s="87">
        <f t="shared" si="1"/>
        <v>116706.33610833643</v>
      </c>
      <c r="H22" s="86">
        <f t="shared" si="2"/>
        <v>59.644580203029548</v>
      </c>
      <c r="I22" s="98"/>
      <c r="L22" s="248" t="s">
        <v>295</v>
      </c>
      <c r="M22" s="87">
        <f t="shared" si="3"/>
        <v>92859.910970986981</v>
      </c>
      <c r="N22" s="249"/>
      <c r="O22" s="250"/>
      <c r="S22" t="s">
        <v>482</v>
      </c>
      <c r="T22" s="84">
        <f>SUM(T17:T21)</f>
        <v>28341.55</v>
      </c>
      <c r="U22" s="170">
        <f t="shared" si="5"/>
        <v>0.25675875473197535</v>
      </c>
    </row>
    <row r="23" spans="1:21" x14ac:dyDescent="0.25">
      <c r="B23" s="294" t="s">
        <v>192</v>
      </c>
      <c r="C23" s="87">
        <v>89685.127158531264</v>
      </c>
      <c r="D23" s="87">
        <v>6530.7239929408279</v>
      </c>
      <c r="E23" s="87">
        <v>15050.8110730013</v>
      </c>
      <c r="F23" s="87">
        <f t="shared" si="0"/>
        <v>105989.88327595225</v>
      </c>
      <c r="G23" s="87">
        <f t="shared" si="1"/>
        <v>112716.26781284208</v>
      </c>
      <c r="H23" s="86">
        <f t="shared" si="2"/>
        <v>57.605394016554975</v>
      </c>
      <c r="I23" s="98"/>
      <c r="L23" s="248" t="s">
        <v>296</v>
      </c>
      <c r="M23" s="87">
        <f t="shared" si="3"/>
        <v>89685.127158531264</v>
      </c>
      <c r="N23" s="249"/>
      <c r="O23" s="250"/>
      <c r="S23" t="s">
        <v>483</v>
      </c>
      <c r="T23" s="84">
        <f>T16+T22</f>
        <v>138723.57</v>
      </c>
      <c r="U23" s="170">
        <f t="shared" si="5"/>
        <v>1.2567587547319754</v>
      </c>
    </row>
    <row r="24" spans="1:21" x14ac:dyDescent="0.25">
      <c r="B24" s="294" t="s">
        <v>193</v>
      </c>
      <c r="C24" s="87">
        <v>86508.508369950432</v>
      </c>
      <c r="D24" s="87">
        <v>6299.4078182718595</v>
      </c>
      <c r="E24" s="87">
        <v>14517.716113417151</v>
      </c>
      <c r="F24" s="87">
        <f t="shared" si="0"/>
        <v>102235.75519160742</v>
      </c>
      <c r="G24" s="87">
        <f t="shared" si="1"/>
        <v>108723.89331935369</v>
      </c>
      <c r="H24" s="86">
        <f t="shared" si="2"/>
        <v>55.565029211885317</v>
      </c>
      <c r="I24" s="98"/>
      <c r="L24" s="248" t="s">
        <v>297</v>
      </c>
      <c r="M24" s="87">
        <f t="shared" si="3"/>
        <v>86508.508369950432</v>
      </c>
      <c r="N24" s="249"/>
      <c r="O24" s="250"/>
      <c r="T24" s="84"/>
    </row>
    <row r="25" spans="1:21" x14ac:dyDescent="0.25">
      <c r="B25" s="294" t="s">
        <v>194</v>
      </c>
      <c r="C25" s="87">
        <v>83331.672857806232</v>
      </c>
      <c r="D25" s="87">
        <v>6068.0758621481509</v>
      </c>
      <c r="E25" s="87">
        <v>13984.584783639744</v>
      </c>
      <c r="F25" s="87">
        <f t="shared" si="0"/>
        <v>98481.370983355402</v>
      </c>
      <c r="G25" s="87">
        <f t="shared" si="1"/>
        <v>104731.24644769086</v>
      </c>
      <c r="H25" s="86">
        <f t="shared" si="2"/>
        <v>53.524525204131976</v>
      </c>
      <c r="I25" s="98"/>
      <c r="L25" s="248" t="s">
        <v>298</v>
      </c>
      <c r="M25" s="87">
        <f t="shared" si="3"/>
        <v>83331.672857806232</v>
      </c>
      <c r="N25" s="249"/>
      <c r="O25" s="250"/>
      <c r="T25" s="84"/>
    </row>
    <row r="26" spans="1:21" x14ac:dyDescent="0.25">
      <c r="B26" s="294" t="s">
        <v>195</v>
      </c>
      <c r="C26" s="87">
        <v>80033.072922573003</v>
      </c>
      <c r="D26" s="87">
        <v>5827.8772202700875</v>
      </c>
      <c r="E26" s="87">
        <v>13431.019147914525</v>
      </c>
      <c r="F26" s="87">
        <f t="shared" si="0"/>
        <v>94583.085579896768</v>
      </c>
      <c r="G26" s="87">
        <f t="shared" si="1"/>
        <v>100585.56604908974</v>
      </c>
      <c r="H26" s="86">
        <f t="shared" si="2"/>
        <v>51.405811042794937</v>
      </c>
      <c r="I26" s="98"/>
      <c r="L26" s="248" t="s">
        <v>299</v>
      </c>
      <c r="M26" s="87">
        <f t="shared" si="3"/>
        <v>80033.072922573003</v>
      </c>
      <c r="N26" s="249"/>
      <c r="O26" s="250"/>
      <c r="T26" s="84"/>
    </row>
    <row r="27" spans="1:21" x14ac:dyDescent="0.25">
      <c r="B27" s="294" t="s">
        <v>196</v>
      </c>
      <c r="C27" s="87">
        <v>76120.838298844334</v>
      </c>
      <c r="D27" s="87">
        <v>5542.9947059370706</v>
      </c>
      <c r="E27" s="87">
        <v>12774.474344327286</v>
      </c>
      <c r="F27" s="87">
        <f t="shared" si="0"/>
        <v>89959.60670157423</v>
      </c>
      <c r="G27" s="87">
        <f t="shared" si="1"/>
        <v>95668.669573987558</v>
      </c>
      <c r="H27" s="86">
        <f t="shared" si="2"/>
        <v>48.892954963695765</v>
      </c>
      <c r="I27" s="98"/>
      <c r="L27" s="248" t="s">
        <v>300</v>
      </c>
      <c r="M27" s="87">
        <f t="shared" si="3"/>
        <v>76120.838298844334</v>
      </c>
      <c r="N27" s="249"/>
      <c r="O27" s="250"/>
      <c r="T27" s="84"/>
    </row>
    <row r="28" spans="1:21" x14ac:dyDescent="0.25">
      <c r="B28" s="294" t="s">
        <v>197</v>
      </c>
      <c r="C28" s="87">
        <v>72212.851001807197</v>
      </c>
      <c r="D28" s="87">
        <v>5258.4214749736511</v>
      </c>
      <c r="E28" s="87">
        <v>12118.642320145336</v>
      </c>
      <c r="F28" s="87">
        <f t="shared" si="0"/>
        <v>85341.14731393574</v>
      </c>
      <c r="G28" s="87">
        <f t="shared" si="1"/>
        <v>90757.111139071276</v>
      </c>
      <c r="H28" s="86">
        <f t="shared" si="2"/>
        <v>46.382826972690268</v>
      </c>
      <c r="I28" s="98"/>
      <c r="L28" s="248" t="s">
        <v>301</v>
      </c>
      <c r="M28" s="87">
        <f t="shared" si="3"/>
        <v>72212.851001807197</v>
      </c>
      <c r="N28" s="249"/>
      <c r="O28" s="250"/>
      <c r="T28" s="84"/>
    </row>
    <row r="29" spans="1:21" x14ac:dyDescent="0.25">
      <c r="T29" s="84"/>
    </row>
    <row r="30" spans="1:21" hidden="1" x14ac:dyDescent="0.25">
      <c r="A30" s="2" t="s">
        <v>198</v>
      </c>
      <c r="B30" s="295" t="s">
        <v>197</v>
      </c>
      <c r="C30" s="257">
        <v>35.23470443592619</v>
      </c>
      <c r="D30" s="257">
        <v>2.4235598404089309</v>
      </c>
      <c r="E30" s="257">
        <v>3.3043404949782698</v>
      </c>
      <c r="F30" s="257">
        <v>40.962604771313387</v>
      </c>
      <c r="G30" s="81"/>
      <c r="H30" s="81"/>
      <c r="I30" s="81"/>
    </row>
    <row r="31" spans="1:21" hidden="1" x14ac:dyDescent="0.25">
      <c r="A31" s="2"/>
      <c r="B31" s="295" t="s">
        <v>196</v>
      </c>
      <c r="C31" s="257">
        <v>37.155339538408761</v>
      </c>
      <c r="D31" s="257">
        <v>2.5556674932749024</v>
      </c>
      <c r="E31" s="257">
        <v>3.4844592854381355</v>
      </c>
      <c r="F31" s="257">
        <v>43.195466317121799</v>
      </c>
      <c r="G31" s="81"/>
      <c r="H31" s="81"/>
      <c r="I31" s="81"/>
    </row>
    <row r="32" spans="1:21" hidden="1" x14ac:dyDescent="0.25">
      <c r="A32" s="2"/>
      <c r="B32" s="295" t="s">
        <v>195</v>
      </c>
      <c r="C32" s="257">
        <v>39.078034678829106</v>
      </c>
      <c r="D32" s="257">
        <v>2.6879168423831339</v>
      </c>
      <c r="E32" s="257">
        <v>3.6647712680047029</v>
      </c>
      <c r="F32" s="257">
        <v>45.430722789216937</v>
      </c>
      <c r="G32" s="81"/>
      <c r="H32" s="81"/>
      <c r="I32" s="81"/>
    </row>
    <row r="33" spans="1:9" hidden="1" x14ac:dyDescent="0.25">
      <c r="A33" s="2"/>
      <c r="B33" s="295" t="s">
        <v>194</v>
      </c>
      <c r="C33" s="257">
        <v>40.698049787311156</v>
      </c>
      <c r="D33" s="257">
        <v>2.7993468549411382</v>
      </c>
      <c r="E33" s="257">
        <v>3.8166976602118057</v>
      </c>
      <c r="F33" s="257">
        <v>47.314094302464099</v>
      </c>
      <c r="G33" s="81"/>
      <c r="H33" s="81"/>
      <c r="I33" s="81"/>
    </row>
    <row r="34" spans="1:9" hidden="1" x14ac:dyDescent="0.25">
      <c r="A34" s="2"/>
      <c r="B34" s="295" t="s">
        <v>193</v>
      </c>
      <c r="C34" s="257">
        <v>42.259266374973841</v>
      </c>
      <c r="D34" s="257">
        <v>2.9067325102095158</v>
      </c>
      <c r="E34" s="257">
        <v>3.9631098772186721</v>
      </c>
      <c r="F34" s="257">
        <v>49.129108762402034</v>
      </c>
      <c r="G34" s="81"/>
      <c r="H34" s="81"/>
      <c r="I34" s="81"/>
    </row>
    <row r="35" spans="1:9" hidden="1" x14ac:dyDescent="0.25">
      <c r="A35" s="2"/>
      <c r="B35" s="295" t="s">
        <v>192</v>
      </c>
      <c r="C35" s="257">
        <v>43.82048296263654</v>
      </c>
      <c r="D35" s="257">
        <v>3.0141181654778944</v>
      </c>
      <c r="E35" s="257">
        <v>4.1095220942255386</v>
      </c>
      <c r="F35" s="257">
        <v>50.944123222339968</v>
      </c>
      <c r="G35" s="81"/>
      <c r="H35" s="81"/>
      <c r="I35" s="81"/>
    </row>
    <row r="36" spans="1:9" hidden="1" x14ac:dyDescent="0.25">
      <c r="A36" s="2"/>
      <c r="B36" s="295" t="s">
        <v>191</v>
      </c>
      <c r="C36" s="257">
        <v>45.380717180050603</v>
      </c>
      <c r="D36" s="257">
        <v>3.121436250062168</v>
      </c>
      <c r="E36" s="257">
        <v>4.255842183716493</v>
      </c>
      <c r="F36" s="257">
        <v>52.757995613829266</v>
      </c>
      <c r="G36" s="81"/>
      <c r="H36" s="81"/>
      <c r="I36" s="81"/>
    </row>
    <row r="37" spans="1:9" hidden="1" x14ac:dyDescent="0.25">
      <c r="A37" s="2"/>
      <c r="B37" s="295" t="s">
        <v>190</v>
      </c>
      <c r="C37" s="257">
        <v>45.634208371913623</v>
      </c>
      <c r="D37" s="257">
        <v>3.1388722150385102</v>
      </c>
      <c r="E37" s="257">
        <v>4.2796148028941694</v>
      </c>
      <c r="F37" s="257">
        <v>53.052695389846299</v>
      </c>
      <c r="G37" s="81"/>
      <c r="H37" s="81"/>
      <c r="I37" s="81"/>
    </row>
    <row r="38" spans="1:9" hidden="1" x14ac:dyDescent="0.25">
      <c r="A38" s="2"/>
      <c r="B38" s="295" t="s">
        <v>189</v>
      </c>
      <c r="C38" s="257">
        <v>49.546043439480364</v>
      </c>
      <c r="D38" s="257">
        <v>3.407941206075412</v>
      </c>
      <c r="E38" s="257">
        <v>4.6464700165356705</v>
      </c>
      <c r="F38" s="257">
        <v>57.600454662091444</v>
      </c>
      <c r="G38" s="81"/>
      <c r="H38" s="81"/>
      <c r="I38" s="81"/>
    </row>
    <row r="39" spans="1:9" hidden="1" x14ac:dyDescent="0.25">
      <c r="A39" s="2"/>
      <c r="B39" s="295" t="s">
        <v>188</v>
      </c>
      <c r="C39" s="257">
        <v>51.346640211047301</v>
      </c>
      <c r="D39" s="257">
        <v>3.5317922243882016</v>
      </c>
      <c r="E39" s="257">
        <v>4.8153315104141106</v>
      </c>
      <c r="F39" s="257">
        <v>59.693763945849604</v>
      </c>
      <c r="G39" s="81"/>
      <c r="H39" s="81"/>
      <c r="I39" s="81"/>
    </row>
    <row r="40" spans="1:9" hidden="1" x14ac:dyDescent="0.25">
      <c r="A40" s="2"/>
      <c r="B40" s="295" t="s">
        <v>187</v>
      </c>
      <c r="C40" s="257">
        <v>53.150088795919565</v>
      </c>
      <c r="D40" s="257">
        <v>3.6558393998792549</v>
      </c>
      <c r="E40" s="257">
        <v>4.9844604497654075</v>
      </c>
      <c r="F40" s="257">
        <v>61.790388645564228</v>
      </c>
      <c r="G40" s="81"/>
      <c r="H40" s="81"/>
      <c r="I40" s="81"/>
    </row>
    <row r="41" spans="1:9" hidden="1" x14ac:dyDescent="0.25">
      <c r="A41" s="2"/>
      <c r="B41" s="295" t="s">
        <v>186</v>
      </c>
      <c r="C41" s="257">
        <v>54.949197314192013</v>
      </c>
      <c r="D41" s="257">
        <v>3.7795880511940911</v>
      </c>
      <c r="E41" s="257">
        <v>5.153182373986418</v>
      </c>
      <c r="F41" s="257">
        <v>63.88196773937252</v>
      </c>
      <c r="G41" s="81"/>
      <c r="H41" s="81"/>
      <c r="I41" s="81"/>
    </row>
    <row r="42" spans="1:9" hidden="1" x14ac:dyDescent="0.25">
      <c r="A42" s="2"/>
      <c r="B42" s="295" t="s">
        <v>185</v>
      </c>
      <c r="C42" s="257">
        <v>56.7527558944264</v>
      </c>
      <c r="D42" s="257">
        <v>3.903642792530992</v>
      </c>
      <c r="E42" s="257">
        <v>5.322321628796157</v>
      </c>
      <c r="F42" s="257">
        <v>65.978720315753549</v>
      </c>
      <c r="G42" s="81"/>
      <c r="H42" s="81"/>
      <c r="I42" s="81"/>
    </row>
    <row r="43" spans="1:9" hidden="1" x14ac:dyDescent="0.25">
      <c r="A43" s="2"/>
      <c r="B43" s="295" t="s">
        <v>184</v>
      </c>
      <c r="C43" s="257">
        <v>57.045986118998776</v>
      </c>
      <c r="D43" s="257">
        <v>3.9238121399867096</v>
      </c>
      <c r="E43" s="257">
        <v>5.3498210081983046</v>
      </c>
      <c r="F43" s="257">
        <v>66.319619267183796</v>
      </c>
      <c r="G43" s="81"/>
      <c r="H43" s="81"/>
      <c r="I43" s="81"/>
    </row>
    <row r="44" spans="1:9" hidden="1" x14ac:dyDescent="0.25">
      <c r="A44" s="2"/>
      <c r="B44" s="295" t="s">
        <v>183</v>
      </c>
      <c r="C44" s="257">
        <v>60.356009475498084</v>
      </c>
      <c r="D44" s="257">
        <v>4.1514865253988331</v>
      </c>
      <c r="E44" s="257">
        <v>5.6602378086597414</v>
      </c>
      <c r="F44" s="257">
        <v>70.167733809556665</v>
      </c>
      <c r="G44" s="81"/>
      <c r="H44" s="81"/>
      <c r="I44" s="81"/>
    </row>
    <row r="45" spans="1:9" hidden="1" x14ac:dyDescent="0.25">
      <c r="A45" s="2"/>
      <c r="B45" s="295" t="s">
        <v>182</v>
      </c>
      <c r="C45" s="257">
        <v>62.155308588651643</v>
      </c>
      <c r="D45" s="257">
        <v>4.275248286461772</v>
      </c>
      <c r="E45" s="257">
        <v>5.8289776070305086</v>
      </c>
      <c r="F45" s="257">
        <v>72.25953448214392</v>
      </c>
      <c r="G45" s="81"/>
      <c r="H45" s="81"/>
      <c r="I45" s="81"/>
    </row>
    <row r="46" spans="1:9" hidden="1" x14ac:dyDescent="0.25">
      <c r="A46" s="2"/>
      <c r="B46" s="295" t="s">
        <v>181</v>
      </c>
      <c r="C46" s="257">
        <v>63.956902428388752</v>
      </c>
      <c r="D46" s="257">
        <v>4.3991678864304609</v>
      </c>
      <c r="E46" s="257">
        <v>5.9979326068084218</v>
      </c>
      <c r="F46" s="257">
        <v>74.354002921627639</v>
      </c>
      <c r="G46" s="81"/>
      <c r="H46" s="81"/>
      <c r="I46" s="81"/>
    </row>
    <row r="47" spans="1:9" hidden="1" x14ac:dyDescent="0.25">
      <c r="A47" s="2"/>
      <c r="B47" s="295" t="s">
        <v>180</v>
      </c>
      <c r="C47" s="257">
        <v>65.756707424588186</v>
      </c>
      <c r="D47" s="257">
        <v>4.5229644438072487</v>
      </c>
      <c r="E47" s="257">
        <v>6.1667198473207083</v>
      </c>
      <c r="F47" s="257">
        <v>76.446391715716132</v>
      </c>
      <c r="G47" s="81"/>
      <c r="H47" s="81"/>
      <c r="I47" s="81"/>
    </row>
    <row r="48" spans="1:9" hidden="1" x14ac:dyDescent="0.25">
      <c r="A48" s="2"/>
      <c r="B48" s="295" t="s">
        <v>179</v>
      </c>
      <c r="C48" s="257">
        <v>67.559474229455049</v>
      </c>
      <c r="D48" s="257">
        <v>4.6469647242081482</v>
      </c>
      <c r="E48" s="257">
        <v>6.3357848487642929</v>
      </c>
      <c r="F48" s="257">
        <v>78.542223802427486</v>
      </c>
      <c r="G48" s="81"/>
      <c r="H48" s="81"/>
      <c r="I48" s="81"/>
    </row>
    <row r="49" spans="1:15" hidden="1" x14ac:dyDescent="0.25">
      <c r="A49" s="2"/>
      <c r="B49" s="295" t="s">
        <v>178</v>
      </c>
      <c r="C49" s="257">
        <v>67.852513859146342</v>
      </c>
      <c r="D49" s="257">
        <v>4.6671209619157628</v>
      </c>
      <c r="E49" s="257">
        <v>6.3632663540166847</v>
      </c>
      <c r="F49" s="257">
        <v>78.882901175078786</v>
      </c>
      <c r="G49" s="81"/>
      <c r="H49" s="81"/>
      <c r="I49" s="81"/>
    </row>
    <row r="50" spans="1:15" hidden="1" x14ac:dyDescent="0.25">
      <c r="A50" s="2"/>
      <c r="B50" s="295" t="s">
        <v>177</v>
      </c>
      <c r="C50" s="257">
        <v>72.865630007608345</v>
      </c>
      <c r="D50" s="257">
        <v>5.0119397185144425</v>
      </c>
      <c r="E50" s="257">
        <v>6.8334006423719575</v>
      </c>
      <c r="F50" s="257">
        <v>84.710970368494742</v>
      </c>
      <c r="G50" s="81"/>
      <c r="H50" s="81"/>
      <c r="I50" s="81"/>
    </row>
    <row r="51" spans="1:15" hidden="1" x14ac:dyDescent="0.25">
      <c r="A51" s="2"/>
      <c r="B51" s="295" t="s">
        <v>176</v>
      </c>
      <c r="C51" s="257">
        <v>75.26619844302914</v>
      </c>
      <c r="D51" s="257">
        <v>5.1770587779014443</v>
      </c>
      <c r="E51" s="257">
        <v>7.0585279882406402</v>
      </c>
      <c r="F51" s="257">
        <v>87.501785209171217</v>
      </c>
      <c r="G51" s="81"/>
      <c r="H51" s="81"/>
      <c r="I51" s="81"/>
    </row>
    <row r="52" spans="1:15" hidden="1" x14ac:dyDescent="0.25">
      <c r="A52" s="2"/>
      <c r="B52" s="295" t="s">
        <v>175</v>
      </c>
      <c r="C52" s="257">
        <v>77.668636321506639</v>
      </c>
      <c r="D52" s="257">
        <v>5.3423064237826052</v>
      </c>
      <c r="E52" s="257">
        <v>7.2838306520662703</v>
      </c>
      <c r="F52" s="257">
        <v>90.294773397355527</v>
      </c>
      <c r="G52" s="81"/>
      <c r="H52" s="81"/>
      <c r="I52" s="81"/>
    </row>
    <row r="53" spans="1:15" hidden="1" x14ac:dyDescent="0.25">
      <c r="A53" s="2"/>
      <c r="B53" s="295" t="s">
        <v>174</v>
      </c>
      <c r="C53" s="257">
        <v>78.059069935440036</v>
      </c>
      <c r="D53" s="257">
        <v>5.3691617427706051</v>
      </c>
      <c r="E53" s="257">
        <v>7.3204458478448204</v>
      </c>
      <c r="F53" s="257">
        <v>90.748677526055445</v>
      </c>
      <c r="G53" s="81"/>
      <c r="H53" s="81"/>
      <c r="I53" s="81"/>
    </row>
    <row r="54" spans="1:15" hidden="1" x14ac:dyDescent="0.25">
      <c r="A54" s="2"/>
      <c r="B54" s="295" t="s">
        <v>173</v>
      </c>
      <c r="C54" s="257">
        <v>91.270762674086697</v>
      </c>
      <c r="D54" s="257">
        <v>6.2779057909414373</v>
      </c>
      <c r="E54" s="257">
        <v>8.5594496091196799</v>
      </c>
      <c r="F54" s="257">
        <v>106.10811807414781</v>
      </c>
      <c r="G54" s="81"/>
      <c r="H54" s="81"/>
      <c r="I54" s="81"/>
    </row>
    <row r="55" spans="1:15" x14ac:dyDescent="0.25">
      <c r="C55" s="81"/>
      <c r="D55" s="81"/>
      <c r="E55" s="81"/>
      <c r="F55" s="81"/>
      <c r="G55" s="81"/>
      <c r="H55" s="81"/>
      <c r="I55" s="81"/>
      <c r="O55" s="80"/>
    </row>
    <row r="56" spans="1:15" s="35" customFormat="1" ht="30" x14ac:dyDescent="0.25">
      <c r="A56" s="298" t="s">
        <v>172</v>
      </c>
      <c r="B56" s="299"/>
      <c r="C56" s="300"/>
      <c r="D56" s="300"/>
      <c r="E56" s="300"/>
      <c r="F56" s="258" t="s">
        <v>464</v>
      </c>
      <c r="G56" s="258" t="s">
        <v>60</v>
      </c>
      <c r="I56" s="258" t="s">
        <v>59</v>
      </c>
      <c r="J56" s="301"/>
    </row>
    <row r="57" spans="1:15" ht="64.5" customHeight="1" x14ac:dyDescent="0.25">
      <c r="A57" s="258" t="s">
        <v>463</v>
      </c>
      <c r="B57" s="293" t="s">
        <v>201</v>
      </c>
      <c r="C57" s="258" t="s">
        <v>53</v>
      </c>
      <c r="D57" s="258" t="s">
        <v>170</v>
      </c>
      <c r="E57" s="292" t="s">
        <v>169</v>
      </c>
      <c r="F57" s="258" t="s">
        <v>168</v>
      </c>
      <c r="G57" s="258" t="s">
        <v>167</v>
      </c>
      <c r="H57" s="258" t="s">
        <v>166</v>
      </c>
      <c r="I57" s="258" t="s">
        <v>165</v>
      </c>
      <c r="J57" s="258" t="s">
        <v>461</v>
      </c>
    </row>
    <row r="58" spans="1:15" x14ac:dyDescent="0.25">
      <c r="B58" s="294">
        <v>4.0999999999999996</v>
      </c>
      <c r="C58" s="87">
        <v>63818.206533239994</v>
      </c>
      <c r="D58" s="87">
        <v>4647.137221050788</v>
      </c>
      <c r="E58" s="87">
        <v>10709.866841708588</v>
      </c>
      <c r="F58" s="87">
        <f>C58*1.1818</f>
        <v>75420.356480983028</v>
      </c>
      <c r="G58" s="87">
        <f>C58*1.2568</f>
        <v>80206.721970976025</v>
      </c>
      <c r="H58" s="86">
        <f>G58/52.178571/35</f>
        <v>43.918807737033887</v>
      </c>
      <c r="I58" s="86">
        <f>H58*1.267551</f>
        <v>55.669328665885047</v>
      </c>
      <c r="J58" s="307"/>
      <c r="K58" s="170"/>
    </row>
    <row r="59" spans="1:15" x14ac:dyDescent="0.25">
      <c r="B59" s="294">
        <v>4.2</v>
      </c>
      <c r="C59" s="87">
        <v>65761.253835617608</v>
      </c>
      <c r="D59" s="87">
        <v>4788.626741544258</v>
      </c>
      <c r="E59" s="87">
        <v>11035.94585592793</v>
      </c>
      <c r="F59" s="87">
        <f t="shared" ref="F59:F109" si="6">C59*1.1818</f>
        <v>77716.649782932887</v>
      </c>
      <c r="G59" s="87">
        <f t="shared" ref="G59:G84" si="7">C59*1.2568</f>
        <v>82648.743820604199</v>
      </c>
      <c r="H59" s="86">
        <f t="shared" ref="H59:H87" si="8">G59/52.178571/35</f>
        <v>45.25598603665653</v>
      </c>
      <c r="I59" s="86">
        <f t="shared" ref="I59:I84" si="9">H59*1.267551</f>
        <v>57.364270356750026</v>
      </c>
      <c r="J59" s="2"/>
    </row>
    <row r="60" spans="1:15" x14ac:dyDescent="0.25">
      <c r="B60" s="294">
        <v>4.3</v>
      </c>
      <c r="C60" s="87">
        <v>67611.784252020487</v>
      </c>
      <c r="D60" s="87">
        <v>4923.3793340081847</v>
      </c>
      <c r="E60" s="87">
        <v>11346.49883795013</v>
      </c>
      <c r="F60" s="87">
        <f t="shared" si="6"/>
        <v>79903.606629037808</v>
      </c>
      <c r="G60" s="87">
        <f t="shared" si="7"/>
        <v>84974.490447939344</v>
      </c>
      <c r="H60" s="86">
        <f t="shared" si="8"/>
        <v>46.529495493980441</v>
      </c>
      <c r="I60" s="86">
        <f t="shared" si="9"/>
        <v>58.97850854289041</v>
      </c>
      <c r="J60" s="2"/>
    </row>
    <row r="61" spans="1:15" x14ac:dyDescent="0.25">
      <c r="B61" s="294">
        <v>4.4000000000000004</v>
      </c>
      <c r="C61" s="87">
        <v>68287.202464353846</v>
      </c>
      <c r="D61" s="87">
        <v>4972.5621814245414</v>
      </c>
      <c r="E61" s="87">
        <v>11459.846415538157</v>
      </c>
      <c r="F61" s="87">
        <f t="shared" si="6"/>
        <v>80701.81587237338</v>
      </c>
      <c r="G61" s="87">
        <f t="shared" si="7"/>
        <v>85823.356057199911</v>
      </c>
      <c r="H61" s="86">
        <f t="shared" si="8"/>
        <v>46.994308973094896</v>
      </c>
      <c r="I61" s="86">
        <f t="shared" si="9"/>
        <v>59.567683333155415</v>
      </c>
      <c r="J61" s="2"/>
    </row>
    <row r="62" spans="1:15" x14ac:dyDescent="0.25">
      <c r="B62" s="294">
        <v>5.0999999999999996</v>
      </c>
      <c r="C62" s="87">
        <v>71722.721162700152</v>
      </c>
      <c r="D62" s="87">
        <v>5222.731023264143</v>
      </c>
      <c r="E62" s="87">
        <v>12036.38953372066</v>
      </c>
      <c r="F62" s="87">
        <f t="shared" si="6"/>
        <v>84761.911870079042</v>
      </c>
      <c r="G62" s="87">
        <f t="shared" si="7"/>
        <v>90141.115957281552</v>
      </c>
      <c r="H62" s="86">
        <f t="shared" si="8"/>
        <v>49.358585460731192</v>
      </c>
      <c r="I62" s="86">
        <f t="shared" si="9"/>
        <v>62.564524359335287</v>
      </c>
      <c r="J62" s="2"/>
    </row>
    <row r="63" spans="1:15" x14ac:dyDescent="0.25">
      <c r="B63" s="294">
        <v>5.2</v>
      </c>
      <c r="C63" s="87">
        <v>73891.037919573602</v>
      </c>
      <c r="D63" s="87">
        <v>5380.624296285634</v>
      </c>
      <c r="E63" s="87">
        <v>12400.272898645126</v>
      </c>
      <c r="F63" s="87">
        <f t="shared" si="6"/>
        <v>87324.42861335208</v>
      </c>
      <c r="G63" s="87">
        <f t="shared" si="7"/>
        <v>92866.256457320094</v>
      </c>
      <c r="H63" s="86">
        <f t="shared" si="8"/>
        <v>50.850791085602722</v>
      </c>
      <c r="I63" s="86">
        <f t="shared" si="9"/>
        <v>64.455971091346825</v>
      </c>
      <c r="J63" s="2"/>
    </row>
    <row r="64" spans="1:15" x14ac:dyDescent="0.25">
      <c r="B64" s="294">
        <v>5.3</v>
      </c>
      <c r="C64" s="87">
        <v>76061.025125793691</v>
      </c>
      <c r="D64" s="87">
        <v>5538.6392086911856</v>
      </c>
      <c r="E64" s="87">
        <v>12764.436595641584</v>
      </c>
      <c r="F64" s="87">
        <f t="shared" si="6"/>
        <v>89888.919493662979</v>
      </c>
      <c r="G64" s="87">
        <f t="shared" si="7"/>
        <v>95593.496378097509</v>
      </c>
      <c r="H64" s="86">
        <f t="shared" si="8"/>
        <v>52.344146290628174</v>
      </c>
      <c r="I64" s="86">
        <f t="shared" si="9"/>
        <v>66.348874974832043</v>
      </c>
      <c r="J64" s="2"/>
    </row>
    <row r="65" spans="2:10" x14ac:dyDescent="0.25">
      <c r="B65" s="294">
        <v>5.4</v>
      </c>
      <c r="C65" s="87">
        <v>76963.451364996537</v>
      </c>
      <c r="D65" s="87">
        <v>5604.3524086268208</v>
      </c>
      <c r="E65" s="87">
        <v>12915.880288301494</v>
      </c>
      <c r="F65" s="87">
        <f t="shared" si="6"/>
        <v>90955.406823152909</v>
      </c>
      <c r="G65" s="87">
        <f t="shared" si="7"/>
        <v>96727.665675527649</v>
      </c>
      <c r="H65" s="86">
        <f t="shared" si="8"/>
        <v>52.965183556471139</v>
      </c>
      <c r="I65" s="86">
        <f t="shared" si="9"/>
        <v>67.136071382188547</v>
      </c>
      <c r="J65" s="2"/>
    </row>
    <row r="66" spans="2:10" x14ac:dyDescent="0.25">
      <c r="B66" s="294">
        <v>6.1</v>
      </c>
      <c r="C66" s="87">
        <v>80395.084239705204</v>
      </c>
      <c r="D66" s="87">
        <v>5854.2382911568147</v>
      </c>
      <c r="E66" s="87">
        <v>13491.77129392881</v>
      </c>
      <c r="F66" s="87">
        <f t="shared" si="6"/>
        <v>95010.910554483606</v>
      </c>
      <c r="G66" s="87">
        <f t="shared" si="7"/>
        <v>101040.54187246149</v>
      </c>
      <c r="H66" s="86">
        <f t="shared" si="8"/>
        <v>55.326785873984001</v>
      </c>
      <c r="I66" s="86">
        <f t="shared" si="9"/>
        <v>70.129522761354295</v>
      </c>
      <c r="J66" s="2"/>
    </row>
    <row r="67" spans="2:10" x14ac:dyDescent="0.25">
      <c r="B67" s="294">
        <v>6.2</v>
      </c>
      <c r="C67" s="87">
        <v>82562.294007103832</v>
      </c>
      <c r="D67" s="87">
        <v>6012.0509550187699</v>
      </c>
      <c r="E67" s="87">
        <v>13855.468885693635</v>
      </c>
      <c r="F67" s="87">
        <f t="shared" si="6"/>
        <v>97572.119057595308</v>
      </c>
      <c r="G67" s="87">
        <f t="shared" si="7"/>
        <v>103764.29110812809</v>
      </c>
      <c r="H67" s="86">
        <f t="shared" si="8"/>
        <v>56.818229683998105</v>
      </c>
      <c r="I67" s="86">
        <f t="shared" si="9"/>
        <v>72.020003854181482</v>
      </c>
      <c r="J67" s="2"/>
    </row>
    <row r="68" spans="2:10" x14ac:dyDescent="0.25">
      <c r="B68" s="294">
        <v>6.3</v>
      </c>
      <c r="C68" s="87">
        <v>84730.966978426703</v>
      </c>
      <c r="D68" s="87">
        <v>6169.9701669927399</v>
      </c>
      <c r="E68" s="87">
        <v>14219.41202994328</v>
      </c>
      <c r="F68" s="87">
        <f>C68*1.1818</f>
        <v>100135.05677510468</v>
      </c>
      <c r="G68" s="87">
        <f>C68*1.2568</f>
        <v>106489.87929848667</v>
      </c>
      <c r="H68" s="86">
        <f t="shared" si="8"/>
        <v>58.310680450730665</v>
      </c>
      <c r="I68" s="86">
        <f t="shared" si="9"/>
        <v>73.911761316004117</v>
      </c>
      <c r="J68" s="2"/>
    </row>
    <row r="69" spans="2:10" x14ac:dyDescent="0.25">
      <c r="B69" s="294">
        <v>6.4</v>
      </c>
      <c r="C69" s="87">
        <v>85631.741942231311</v>
      </c>
      <c r="D69" s="87">
        <v>6235.5631237598154</v>
      </c>
      <c r="E69" s="87">
        <v>14370.57860827179</v>
      </c>
      <c r="F69" s="87">
        <f>C69*1.1818</f>
        <v>101199.59262732897</v>
      </c>
      <c r="G69" s="87">
        <f>C69*1.2568</f>
        <v>107621.9732729963</v>
      </c>
      <c r="H69" s="86">
        <f t="shared" si="8"/>
        <v>58.930581331665998</v>
      </c>
      <c r="I69" s="86">
        <f t="shared" si="9"/>
        <v>74.697517297534574</v>
      </c>
      <c r="J69" s="2"/>
    </row>
    <row r="70" spans="2:10" x14ac:dyDescent="0.25">
      <c r="B70" s="294">
        <v>7.1</v>
      </c>
      <c r="C70" s="87">
        <v>88843.092460959917</v>
      </c>
      <c r="D70" s="87">
        <v>6469.4084061033645</v>
      </c>
      <c r="E70" s="87">
        <v>14909.50218989456</v>
      </c>
      <c r="F70" s="87">
        <f t="shared" si="6"/>
        <v>104994.76667036243</v>
      </c>
      <c r="G70" s="87">
        <f t="shared" si="7"/>
        <v>111657.99860493442</v>
      </c>
      <c r="H70" s="86">
        <f t="shared" si="8"/>
        <v>61.140588376204377</v>
      </c>
      <c r="I70" s="86">
        <f t="shared" si="9"/>
        <v>77.498813936846247</v>
      </c>
      <c r="J70" s="2"/>
    </row>
    <row r="71" spans="2:10" x14ac:dyDescent="0.25">
      <c r="B71" s="294">
        <v>7.2</v>
      </c>
      <c r="C71" s="87">
        <v>91554.220461291843</v>
      </c>
      <c r="D71" s="87">
        <v>6666.8283043703786</v>
      </c>
      <c r="E71" s="87">
        <v>15364.479248193104</v>
      </c>
      <c r="F71" s="87">
        <f t="shared" si="6"/>
        <v>108198.7777411547</v>
      </c>
      <c r="G71" s="87">
        <f t="shared" si="7"/>
        <v>115065.34427575159</v>
      </c>
      <c r="H71" s="86">
        <f t="shared" si="8"/>
        <v>63.006349196904495</v>
      </c>
      <c r="I71" s="86">
        <f t="shared" si="9"/>
        <v>79.863760930885491</v>
      </c>
      <c r="J71" s="2"/>
    </row>
    <row r="72" spans="2:10" x14ac:dyDescent="0.25">
      <c r="B72" s="294">
        <v>7.3</v>
      </c>
      <c r="C72" s="87">
        <v>94257.070396604322</v>
      </c>
      <c r="D72" s="87">
        <v>6864.3547978055185</v>
      </c>
      <c r="E72" s="87">
        <v>15819.701967422736</v>
      </c>
      <c r="F72" s="87">
        <f t="shared" si="6"/>
        <v>111393.00579470699</v>
      </c>
      <c r="G72" s="87">
        <f t="shared" si="7"/>
        <v>118462.28607445231</v>
      </c>
      <c r="H72" s="86">
        <f t="shared" si="8"/>
        <v>64.866413167665158</v>
      </c>
      <c r="I72" s="86">
        <f t="shared" si="9"/>
        <v>82.221486877087145</v>
      </c>
      <c r="J72" s="2"/>
    </row>
    <row r="73" spans="2:10" x14ac:dyDescent="0.25">
      <c r="B73" s="294">
        <v>7.4</v>
      </c>
      <c r="C73" s="87">
        <v>95369.122267077939</v>
      </c>
      <c r="D73" s="87">
        <v>6946.3853040310041</v>
      </c>
      <c r="E73" s="87">
        <v>16008.750785403252</v>
      </c>
      <c r="F73" s="87">
        <f t="shared" si="6"/>
        <v>112707.2286952327</v>
      </c>
      <c r="G73" s="87">
        <f t="shared" si="7"/>
        <v>119859.91286526354</v>
      </c>
      <c r="H73" s="86">
        <f t="shared" si="8"/>
        <v>65.631711895818867</v>
      </c>
      <c r="I73" s="86">
        <f t="shared" si="9"/>
        <v>83.191542045257108</v>
      </c>
      <c r="J73" s="2"/>
    </row>
    <row r="74" spans="2:10" x14ac:dyDescent="0.25">
      <c r="B74" s="294">
        <v>8.1</v>
      </c>
      <c r="C74" s="87">
        <v>99918.479650430934</v>
      </c>
      <c r="D74" s="87">
        <v>7281.9686514140385</v>
      </c>
      <c r="E74" s="87">
        <v>16782.141540573262</v>
      </c>
      <c r="F74" s="87">
        <f t="shared" si="6"/>
        <v>118083.65925087927</v>
      </c>
      <c r="G74" s="87">
        <f t="shared" si="7"/>
        <v>125577.54522466159</v>
      </c>
      <c r="H74" s="86">
        <f t="shared" si="8"/>
        <v>68.762516772675895</v>
      </c>
      <c r="I74" s="86">
        <f t="shared" si="9"/>
        <v>87.15999689772211</v>
      </c>
      <c r="J74" s="2"/>
    </row>
    <row r="75" spans="2:10" x14ac:dyDescent="0.25">
      <c r="B75" s="294">
        <v>8.1999999999999993</v>
      </c>
      <c r="C75" s="87">
        <v>103129.95085063112</v>
      </c>
      <c r="D75" s="87">
        <v>7518.8628244968049</v>
      </c>
      <c r="E75" s="87">
        <v>17328.091644607295</v>
      </c>
      <c r="F75" s="87">
        <f t="shared" si="6"/>
        <v>121878.97591527586</v>
      </c>
      <c r="G75" s="87">
        <f t="shared" si="7"/>
        <v>129613.72222907319</v>
      </c>
      <c r="H75" s="86">
        <f t="shared" si="8"/>
        <v>70.972606868535138</v>
      </c>
      <c r="I75" s="86">
        <f t="shared" si="9"/>
        <v>89.961398808818586</v>
      </c>
      <c r="J75" s="2"/>
    </row>
    <row r="76" spans="2:10" x14ac:dyDescent="0.25">
      <c r="B76" s="294">
        <v>8.3000000000000007</v>
      </c>
      <c r="C76" s="87">
        <v>106341.88188662121</v>
      </c>
      <c r="D76" s="87">
        <v>7755.7909173666139</v>
      </c>
      <c r="E76" s="87">
        <v>17874.119920725607</v>
      </c>
      <c r="F76" s="87">
        <f t="shared" si="6"/>
        <v>125674.83601360895</v>
      </c>
      <c r="G76" s="87">
        <f t="shared" si="7"/>
        <v>133650.47715510553</v>
      </c>
      <c r="H76" s="86">
        <f t="shared" si="8"/>
        <v>73.183013417029841</v>
      </c>
      <c r="I76" s="86">
        <f t="shared" si="9"/>
        <v>92.763201839769593</v>
      </c>
      <c r="J76" s="2"/>
    </row>
    <row r="77" spans="2:10" x14ac:dyDescent="0.25">
      <c r="B77" s="294">
        <v>8.4</v>
      </c>
      <c r="C77" s="87">
        <v>109550.33366290932</v>
      </c>
      <c r="D77" s="87">
        <v>7992.4623626445073</v>
      </c>
      <c r="E77" s="87">
        <v>18419.556722694586</v>
      </c>
      <c r="F77" s="87">
        <f t="shared" si="6"/>
        <v>129466.58432282624</v>
      </c>
      <c r="G77" s="87">
        <f t="shared" si="7"/>
        <v>137682.85934754444</v>
      </c>
      <c r="H77" s="86">
        <f t="shared" si="8"/>
        <v>75.391025587082723</v>
      </c>
      <c r="I77" s="86">
        <f t="shared" si="9"/>
        <v>95.561969873932298</v>
      </c>
      <c r="J77" s="2"/>
    </row>
    <row r="78" spans="2:10" x14ac:dyDescent="0.25">
      <c r="B78" s="294">
        <v>8.5</v>
      </c>
      <c r="C78" s="87">
        <v>110882.4636330143</v>
      </c>
      <c r="D78" s="87">
        <v>8090.7269298892988</v>
      </c>
      <c r="E78" s="87">
        <v>18646.018817612432</v>
      </c>
      <c r="F78" s="87">
        <f t="shared" si="6"/>
        <v>131040.89552149629</v>
      </c>
      <c r="G78" s="87">
        <f t="shared" si="7"/>
        <v>139357.08029397237</v>
      </c>
      <c r="H78" s="86">
        <f t="shared" si="8"/>
        <v>76.307779021814667</v>
      </c>
      <c r="I78" s="86">
        <f t="shared" si="9"/>
        <v>96.724001606880208</v>
      </c>
      <c r="J78" s="2"/>
    </row>
    <row r="79" spans="2:10" x14ac:dyDescent="0.25">
      <c r="B79" s="294">
        <v>9.1</v>
      </c>
      <c r="C79" s="87">
        <v>115971.31878421876</v>
      </c>
      <c r="D79" s="87">
        <v>8466.1063301178965</v>
      </c>
      <c r="E79" s="87">
        <v>19511.124193317191</v>
      </c>
      <c r="F79" s="87">
        <f t="shared" si="6"/>
        <v>137054.90453918974</v>
      </c>
      <c r="G79" s="87">
        <f t="shared" si="7"/>
        <v>145752.75344800614</v>
      </c>
      <c r="H79" s="86">
        <f t="shared" si="8"/>
        <v>79.809858806381399</v>
      </c>
      <c r="I79" s="86">
        <f t="shared" si="9"/>
        <v>101.16306633988755</v>
      </c>
      <c r="J79" s="2"/>
    </row>
    <row r="80" spans="2:10" x14ac:dyDescent="0.25">
      <c r="B80" s="294">
        <v>9.1999999999999993</v>
      </c>
      <c r="C80" s="87">
        <v>119182.21200743003</v>
      </c>
      <c r="D80" s="87">
        <v>8702.9578687280773</v>
      </c>
      <c r="E80" s="87">
        <v>20056.976041263108</v>
      </c>
      <c r="F80" s="87">
        <f t="shared" si="6"/>
        <v>140849.5381503808</v>
      </c>
      <c r="G80" s="87">
        <f t="shared" si="7"/>
        <v>149788.20405093805</v>
      </c>
      <c r="H80" s="86">
        <f t="shared" si="8"/>
        <v>82.019551146464792</v>
      </c>
      <c r="I80" s="86">
        <f t="shared" si="9"/>
        <v>103.9639640752526</v>
      </c>
      <c r="J80" s="2"/>
    </row>
    <row r="81" spans="1:19" x14ac:dyDescent="0.25">
      <c r="B81" s="294">
        <v>9.3000000000000007</v>
      </c>
      <c r="C81" s="87">
        <v>120516.34405543459</v>
      </c>
      <c r="D81" s="87">
        <v>8801.3701192491335</v>
      </c>
      <c r="E81" s="87">
        <v>20283.778489423879</v>
      </c>
      <c r="F81" s="87">
        <f t="shared" si="6"/>
        <v>142426.2154047126</v>
      </c>
      <c r="G81" s="87">
        <f t="shared" si="7"/>
        <v>151464.94120887018</v>
      </c>
      <c r="H81" s="86">
        <f t="shared" si="8"/>
        <v>82.937682383537535</v>
      </c>
      <c r="I81" s="86">
        <f t="shared" si="9"/>
        <v>105.1277422429354</v>
      </c>
      <c r="J81" s="2"/>
    </row>
    <row r="82" spans="1:19" x14ac:dyDescent="0.25">
      <c r="B82" s="294">
        <v>10.1</v>
      </c>
      <c r="C82" s="87">
        <v>124231.83584507622</v>
      </c>
      <c r="D82" s="87">
        <v>9075.4433711120491</v>
      </c>
      <c r="E82" s="87">
        <v>20915.412093662959</v>
      </c>
      <c r="F82" s="87">
        <f t="shared" si="6"/>
        <v>146817.18360171106</v>
      </c>
      <c r="G82" s="87">
        <f t="shared" si="7"/>
        <v>156134.57129009179</v>
      </c>
      <c r="H82" s="86">
        <f t="shared" si="8"/>
        <v>85.494632483236842</v>
      </c>
      <c r="I82" s="86">
        <f t="shared" si="9"/>
        <v>108.36880689875935</v>
      </c>
      <c r="J82" s="2"/>
    </row>
    <row r="83" spans="1:19" x14ac:dyDescent="0.25">
      <c r="B83" s="294">
        <v>10.199999999999999</v>
      </c>
      <c r="C83" s="87">
        <v>127907.05233978039</v>
      </c>
      <c r="D83" s="87">
        <v>9346.5457158439003</v>
      </c>
      <c r="E83" s="87">
        <v>21540.198897762668</v>
      </c>
      <c r="F83" s="302">
        <f t="shared" si="6"/>
        <v>151160.55445515245</v>
      </c>
      <c r="G83" s="302">
        <f t="shared" si="7"/>
        <v>160753.58338063597</v>
      </c>
      <c r="H83" s="303">
        <f t="shared" si="8"/>
        <v>88.023865681584638</v>
      </c>
      <c r="I83" s="303">
        <f t="shared" si="9"/>
        <v>111.57473896855829</v>
      </c>
      <c r="J83" s="308"/>
    </row>
    <row r="84" spans="1:19" s="35" customFormat="1" ht="45" x14ac:dyDescent="0.25">
      <c r="B84" s="296">
        <v>10.3</v>
      </c>
      <c r="C84" s="87">
        <v>129452.98667480434</v>
      </c>
      <c r="D84" s="87">
        <v>9460.5815620669418</v>
      </c>
      <c r="E84" s="87">
        <v>21803.007734716739</v>
      </c>
      <c r="F84" s="302">
        <f t="shared" si="6"/>
        <v>152987.53965228377</v>
      </c>
      <c r="G84" s="302">
        <f t="shared" si="7"/>
        <v>162696.51365289409</v>
      </c>
      <c r="H84" s="303">
        <f t="shared" si="8"/>
        <v>89.087756325371899</v>
      </c>
      <c r="I84" s="303">
        <f t="shared" si="9"/>
        <v>112.92327461798149</v>
      </c>
      <c r="J84" s="308"/>
      <c r="K84" s="289"/>
      <c r="L84" s="259" t="s">
        <v>402</v>
      </c>
      <c r="M84" s="258" t="s">
        <v>403</v>
      </c>
      <c r="N84" s="258"/>
      <c r="O84" s="259" t="s">
        <v>404</v>
      </c>
      <c r="P84" s="260" t="s">
        <v>405</v>
      </c>
      <c r="Q84" s="261" t="s">
        <v>406</v>
      </c>
      <c r="R84" s="261" t="s">
        <v>407</v>
      </c>
      <c r="S84" s="261" t="s">
        <v>408</v>
      </c>
    </row>
    <row r="85" spans="1:19" s="35" customFormat="1" x14ac:dyDescent="0.25">
      <c r="B85" s="297" t="s">
        <v>415</v>
      </c>
      <c r="C85" s="306">
        <f>M85*(1+$M$1)*35*52.178571</f>
        <v>45180.898339430947</v>
      </c>
      <c r="D85" s="306">
        <f>(C85*(0.01+0.0545))</f>
        <v>2914.1679428932962</v>
      </c>
      <c r="E85" s="306">
        <f>C85*0.095</f>
        <v>4292.1853422459399</v>
      </c>
      <c r="F85" s="302">
        <f t="shared" si="6"/>
        <v>53394.785657539491</v>
      </c>
      <c r="G85" s="306">
        <f>F85</f>
        <v>53394.785657539491</v>
      </c>
      <c r="H85" s="303">
        <f>G85/52.178571/35</f>
        <v>29.237391428391714</v>
      </c>
      <c r="I85" s="303">
        <f>H85</f>
        <v>29.237391428391714</v>
      </c>
      <c r="J85" s="308"/>
      <c r="K85" s="289"/>
      <c r="L85" s="35">
        <v>1</v>
      </c>
      <c r="M85" s="86">
        <v>24.739711819590212</v>
      </c>
      <c r="O85" s="290">
        <f>M85*0.01</f>
        <v>0.24739711819590213</v>
      </c>
      <c r="P85" s="290">
        <f>M85*0.0545</f>
        <v>1.3483142941676665</v>
      </c>
      <c r="Q85" s="290">
        <f>M85*0.095</f>
        <v>2.3502726228610702</v>
      </c>
      <c r="R85" s="290">
        <f>Q85*0.0545</f>
        <v>0.12808985794592834</v>
      </c>
      <c r="S85" s="290">
        <f>SUM(M85:R85)</f>
        <v>28.813785712760779</v>
      </c>
    </row>
    <row r="86" spans="1:19" s="35" customFormat="1" x14ac:dyDescent="0.25">
      <c r="B86" s="297" t="s">
        <v>394</v>
      </c>
      <c r="C86" s="306">
        <f>M86*35*52.178571</f>
        <v>48175.913427412619</v>
      </c>
      <c r="D86" s="306">
        <f>(C86*(0.01+0.0545))</f>
        <v>3107.3464160681142</v>
      </c>
      <c r="E86" s="306">
        <f>C86*0.095</f>
        <v>4576.7117756041989</v>
      </c>
      <c r="F86" s="302">
        <f t="shared" si="6"/>
        <v>56934.294488516229</v>
      </c>
      <c r="G86" s="306">
        <f>F86</f>
        <v>56934.294488516229</v>
      </c>
      <c r="H86" s="303">
        <f t="shared" si="8"/>
        <v>31.175520852100778</v>
      </c>
      <c r="I86" s="303">
        <f t="shared" ref="I86:I109" si="10">H86</f>
        <v>31.175520852100778</v>
      </c>
      <c r="J86" s="308"/>
      <c r="K86" s="289"/>
      <c r="L86" s="35">
        <v>2</v>
      </c>
      <c r="M86" s="86">
        <v>26.379692716280911</v>
      </c>
      <c r="N86" s="290"/>
      <c r="O86" s="290">
        <f>M86*0.01</f>
        <v>0.26379692716280911</v>
      </c>
      <c r="P86" s="290">
        <f>M86*0.0545</f>
        <v>1.4376932530373097</v>
      </c>
      <c r="Q86" s="290">
        <f>M86*0.095</f>
        <v>2.5060708080466867</v>
      </c>
      <c r="R86" s="290">
        <f>Q86*0.0545</f>
        <v>0.13658085903854442</v>
      </c>
      <c r="S86" s="290">
        <f>SUM(M86:R86)</f>
        <v>30.72383456356626</v>
      </c>
    </row>
    <row r="87" spans="1:19" s="35" customFormat="1" x14ac:dyDescent="0.25">
      <c r="B87" s="297" t="s">
        <v>395</v>
      </c>
      <c r="C87" s="306">
        <f>M87*35*52.178571</f>
        <v>54202.468177619674</v>
      </c>
      <c r="D87" s="306">
        <f>(C87*(0.01+0.0545))</f>
        <v>3496.0591974564691</v>
      </c>
      <c r="E87" s="306">
        <f t="shared" ref="E87:E109" si="11">C87*0.095</f>
        <v>5149.2344768738694</v>
      </c>
      <c r="F87" s="302">
        <f t="shared" si="6"/>
        <v>64056.47689231093</v>
      </c>
      <c r="G87" s="306">
        <f t="shared" ref="G87:G109" si="12">F87</f>
        <v>64056.47689231093</v>
      </c>
      <c r="H87" s="303">
        <f t="shared" si="8"/>
        <v>35.075415424198312</v>
      </c>
      <c r="I87" s="303">
        <f t="shared" si="10"/>
        <v>35.075415424198312</v>
      </c>
      <c r="J87" s="308"/>
      <c r="K87" s="289"/>
      <c r="L87" s="35">
        <v>3</v>
      </c>
      <c r="M87" s="86">
        <v>29.679654276695132</v>
      </c>
      <c r="N87" s="290"/>
      <c r="O87" s="290">
        <f>M87*0.01</f>
        <v>0.29679654276695133</v>
      </c>
      <c r="P87" s="290">
        <f>M87*0.0545</f>
        <v>1.6175411580798846</v>
      </c>
      <c r="Q87" s="290">
        <f>M87*0.095</f>
        <v>2.8195671562860376</v>
      </c>
      <c r="R87" s="290">
        <f>Q87*0.0545</f>
        <v>0.15366641001758904</v>
      </c>
      <c r="S87" s="290">
        <f>SUM(M87:R87)</f>
        <v>34.567225543845588</v>
      </c>
    </row>
    <row r="88" spans="1:19" s="35" customFormat="1" x14ac:dyDescent="0.25">
      <c r="A88" s="291" t="s">
        <v>417</v>
      </c>
      <c r="B88" s="297" t="s">
        <v>416</v>
      </c>
      <c r="C88" s="302">
        <f>J88*37.5*52.178571*(1+$M$1)</f>
        <v>88090.472490750006</v>
      </c>
      <c r="D88" s="306">
        <f>(C88*(0.01+0.0545))</f>
        <v>5681.8354756533754</v>
      </c>
      <c r="E88" s="306">
        <f t="shared" si="11"/>
        <v>8368.5948866212511</v>
      </c>
      <c r="F88" s="302">
        <f t="shared" si="6"/>
        <v>104105.32038956835</v>
      </c>
      <c r="G88" s="306">
        <f t="shared" si="12"/>
        <v>104105.32038956835</v>
      </c>
      <c r="H88" s="303">
        <f>G88/52.178571/37.55</f>
        <v>53.133790945406133</v>
      </c>
      <c r="I88" s="303">
        <f t="shared" si="10"/>
        <v>53.133790945406133</v>
      </c>
      <c r="J88" s="304">
        <v>45.02</v>
      </c>
      <c r="K88" s="289"/>
    </row>
    <row r="89" spans="1:19" s="35" customFormat="1" ht="30" x14ac:dyDescent="0.25">
      <c r="A89" s="291" t="s">
        <v>419</v>
      </c>
      <c r="B89" s="297" t="s">
        <v>418</v>
      </c>
      <c r="C89" s="302">
        <f t="shared" ref="C89:C109" si="13">J89*37.5*52.178571*(1+$M$1)</f>
        <v>106796.49019425</v>
      </c>
      <c r="D89" s="306">
        <f t="shared" ref="D89:D109" si="14">(C89*(0.01+0.0545))</f>
        <v>6888.3736175291251</v>
      </c>
      <c r="E89" s="306">
        <f t="shared" si="11"/>
        <v>10145.666568453749</v>
      </c>
      <c r="F89" s="302">
        <f t="shared" si="6"/>
        <v>126212.09211156465</v>
      </c>
      <c r="G89" s="306">
        <f t="shared" si="12"/>
        <v>126212.09211156465</v>
      </c>
      <c r="H89" s="303">
        <f t="shared" ref="H89:H109" si="15">G89/52.178571/37.55</f>
        <v>64.416754993342209</v>
      </c>
      <c r="I89" s="303">
        <f t="shared" si="10"/>
        <v>64.416754993342209</v>
      </c>
      <c r="J89" s="304">
        <v>54.58</v>
      </c>
      <c r="K89" s="289"/>
      <c r="L89" s="288"/>
    </row>
    <row r="90" spans="1:19" s="35" customFormat="1" x14ac:dyDescent="0.25">
      <c r="A90" s="291" t="s">
        <v>421</v>
      </c>
      <c r="B90" s="297" t="s">
        <v>420</v>
      </c>
      <c r="C90" s="302">
        <f t="shared" si="13"/>
        <v>125091.60165112499</v>
      </c>
      <c r="D90" s="306">
        <f t="shared" si="14"/>
        <v>8068.4083064975621</v>
      </c>
      <c r="E90" s="306">
        <f t="shared" si="11"/>
        <v>11883.702156856874</v>
      </c>
      <c r="F90" s="302">
        <f t="shared" si="6"/>
        <v>147833.25483129951</v>
      </c>
      <c r="G90" s="306">
        <f t="shared" si="12"/>
        <v>147833.25483129951</v>
      </c>
      <c r="H90" s="303">
        <f t="shared" si="15"/>
        <v>75.451871504660446</v>
      </c>
      <c r="I90" s="303">
        <f t="shared" si="10"/>
        <v>75.451871504660446</v>
      </c>
      <c r="J90" s="304">
        <v>63.93</v>
      </c>
      <c r="K90" s="289"/>
      <c r="L90" s="288"/>
    </row>
    <row r="91" spans="1:19" s="35" customFormat="1" ht="30" x14ac:dyDescent="0.25">
      <c r="A91" s="291" t="s">
        <v>423</v>
      </c>
      <c r="B91" s="297" t="s">
        <v>422</v>
      </c>
      <c r="C91" s="302">
        <f t="shared" si="13"/>
        <v>125091.60165112499</v>
      </c>
      <c r="D91" s="306">
        <f t="shared" si="14"/>
        <v>8068.4083064975621</v>
      </c>
      <c r="E91" s="306">
        <f t="shared" si="11"/>
        <v>11883.702156856874</v>
      </c>
      <c r="F91" s="302">
        <f t="shared" si="6"/>
        <v>147833.25483129951</v>
      </c>
      <c r="G91" s="306">
        <f t="shared" si="12"/>
        <v>147833.25483129951</v>
      </c>
      <c r="H91" s="303">
        <f t="shared" si="15"/>
        <v>75.451871504660446</v>
      </c>
      <c r="I91" s="303">
        <f t="shared" si="10"/>
        <v>75.451871504660446</v>
      </c>
      <c r="J91" s="304">
        <v>63.93</v>
      </c>
      <c r="K91" s="289"/>
      <c r="L91" s="288"/>
    </row>
    <row r="92" spans="1:19" s="35" customFormat="1" ht="30" x14ac:dyDescent="0.25">
      <c r="A92" s="291" t="s">
        <v>425</v>
      </c>
      <c r="B92" s="297" t="s">
        <v>424</v>
      </c>
      <c r="C92" s="302">
        <f t="shared" si="13"/>
        <v>89401.459087124997</v>
      </c>
      <c r="D92" s="306">
        <f t="shared" si="14"/>
        <v>5766.3941111195627</v>
      </c>
      <c r="E92" s="306">
        <f t="shared" si="11"/>
        <v>8493.1386132768748</v>
      </c>
      <c r="F92" s="302">
        <f t="shared" si="6"/>
        <v>105654.64434916431</v>
      </c>
      <c r="G92" s="306">
        <f t="shared" si="12"/>
        <v>105654.64434916431</v>
      </c>
      <c r="H92" s="303">
        <f t="shared" si="15"/>
        <v>53.924542609853525</v>
      </c>
      <c r="I92" s="303">
        <f t="shared" si="10"/>
        <v>53.924542609853525</v>
      </c>
      <c r="J92" s="304">
        <v>45.69</v>
      </c>
      <c r="K92" s="289"/>
      <c r="L92" s="288"/>
    </row>
    <row r="93" spans="1:19" s="35" customFormat="1" ht="30" x14ac:dyDescent="0.25">
      <c r="A93" s="291" t="s">
        <v>427</v>
      </c>
      <c r="B93" s="297" t="s">
        <v>426</v>
      </c>
      <c r="C93" s="302">
        <f t="shared" si="13"/>
        <v>106796.49019425</v>
      </c>
      <c r="D93" s="306">
        <f t="shared" si="14"/>
        <v>6888.3736175291251</v>
      </c>
      <c r="E93" s="306">
        <f t="shared" si="11"/>
        <v>10145.666568453749</v>
      </c>
      <c r="F93" s="302">
        <f t="shared" si="6"/>
        <v>126212.09211156465</v>
      </c>
      <c r="G93" s="306">
        <f t="shared" si="12"/>
        <v>126212.09211156465</v>
      </c>
      <c r="H93" s="303">
        <f t="shared" si="15"/>
        <v>64.416754993342209</v>
      </c>
      <c r="I93" s="303">
        <f t="shared" si="10"/>
        <v>64.416754993342209</v>
      </c>
      <c r="J93" s="304">
        <v>54.58</v>
      </c>
      <c r="K93" s="289"/>
      <c r="L93" s="288"/>
    </row>
    <row r="94" spans="1:19" s="35" customFormat="1" ht="30" x14ac:dyDescent="0.25">
      <c r="A94" s="291" t="s">
        <v>429</v>
      </c>
      <c r="B94" s="297" t="s">
        <v>428</v>
      </c>
      <c r="C94" s="302">
        <f t="shared" si="13"/>
        <v>134111.97211275002</v>
      </c>
      <c r="D94" s="306">
        <f t="shared" si="14"/>
        <v>8650.222201272376</v>
      </c>
      <c r="E94" s="306">
        <f t="shared" si="11"/>
        <v>12740.637350711253</v>
      </c>
      <c r="F94" s="302">
        <f t="shared" si="6"/>
        <v>158493.52864284796</v>
      </c>
      <c r="G94" s="306">
        <f t="shared" si="12"/>
        <v>158493.52864284796</v>
      </c>
      <c r="H94" s="303">
        <f t="shared" si="15"/>
        <v>80.892715046604536</v>
      </c>
      <c r="I94" s="303">
        <f t="shared" si="10"/>
        <v>80.892715046604536</v>
      </c>
      <c r="J94" s="304">
        <v>68.540000000000006</v>
      </c>
      <c r="K94" s="289"/>
      <c r="L94" s="288"/>
    </row>
    <row r="95" spans="1:19" s="35" customFormat="1" ht="45" x14ac:dyDescent="0.25">
      <c r="A95" s="291" t="s">
        <v>431</v>
      </c>
      <c r="B95" s="297" t="s">
        <v>430</v>
      </c>
      <c r="C95" s="302">
        <f t="shared" si="13"/>
        <v>160194.73529137499</v>
      </c>
      <c r="D95" s="306">
        <f t="shared" si="14"/>
        <v>10332.560426293687</v>
      </c>
      <c r="E95" s="306">
        <f t="shared" si="11"/>
        <v>15218.499852680625</v>
      </c>
      <c r="F95" s="302">
        <f t="shared" si="6"/>
        <v>189318.13816734697</v>
      </c>
      <c r="G95" s="306">
        <f t="shared" si="12"/>
        <v>189318.13816734697</v>
      </c>
      <c r="H95" s="303">
        <f t="shared" si="15"/>
        <v>96.625132490013328</v>
      </c>
      <c r="I95" s="303">
        <f t="shared" si="10"/>
        <v>96.625132490013328</v>
      </c>
      <c r="J95" s="304">
        <v>81.87</v>
      </c>
      <c r="K95" s="289"/>
      <c r="L95" s="288"/>
    </row>
    <row r="96" spans="1:19" s="35" customFormat="1" x14ac:dyDescent="0.25">
      <c r="A96" s="291" t="s">
        <v>433</v>
      </c>
      <c r="B96" s="297" t="s">
        <v>432</v>
      </c>
      <c r="C96" s="302">
        <f t="shared" si="13"/>
        <v>178802.91817424999</v>
      </c>
      <c r="D96" s="306">
        <f t="shared" si="14"/>
        <v>11532.788222239125</v>
      </c>
      <c r="E96" s="306">
        <f t="shared" si="11"/>
        <v>16986.27722655375</v>
      </c>
      <c r="F96" s="302">
        <f t="shared" si="6"/>
        <v>211309.28869832863</v>
      </c>
      <c r="G96" s="306">
        <f t="shared" si="12"/>
        <v>211309.28869832863</v>
      </c>
      <c r="H96" s="303">
        <f t="shared" si="15"/>
        <v>107.84908521970705</v>
      </c>
      <c r="I96" s="303">
        <f t="shared" si="10"/>
        <v>107.84908521970705</v>
      </c>
      <c r="J96" s="304">
        <v>91.38</v>
      </c>
      <c r="K96" s="289"/>
      <c r="L96" s="288"/>
    </row>
    <row r="97" spans="1:12" s="35" customFormat="1" x14ac:dyDescent="0.25">
      <c r="A97" s="291" t="s">
        <v>435</v>
      </c>
      <c r="B97" s="297" t="s">
        <v>434</v>
      </c>
      <c r="C97" s="302">
        <f t="shared" si="13"/>
        <v>213612.547352625</v>
      </c>
      <c r="D97" s="306">
        <f t="shared" si="14"/>
        <v>13778.009304244313</v>
      </c>
      <c r="E97" s="306">
        <f t="shared" si="11"/>
        <v>20293.191998499376</v>
      </c>
      <c r="F97" s="302">
        <f t="shared" si="6"/>
        <v>252447.30846133223</v>
      </c>
      <c r="G97" s="306">
        <f t="shared" si="12"/>
        <v>252447.30846133223</v>
      </c>
      <c r="H97" s="303">
        <f t="shared" si="15"/>
        <v>128.84531225033291</v>
      </c>
      <c r="I97" s="303">
        <f t="shared" si="10"/>
        <v>128.84531225033291</v>
      </c>
      <c r="J97" s="304">
        <v>109.17</v>
      </c>
      <c r="K97" s="289"/>
      <c r="L97" s="288"/>
    </row>
    <row r="98" spans="1:12" s="35" customFormat="1" x14ac:dyDescent="0.25">
      <c r="A98" s="291" t="s">
        <v>437</v>
      </c>
      <c r="B98" s="297" t="s">
        <v>436</v>
      </c>
      <c r="C98" s="302">
        <f t="shared" si="13"/>
        <v>268223.94422550005</v>
      </c>
      <c r="D98" s="306">
        <f t="shared" si="14"/>
        <v>17300.444402544752</v>
      </c>
      <c r="E98" s="306">
        <f t="shared" si="11"/>
        <v>25481.274701422506</v>
      </c>
      <c r="F98" s="302">
        <f t="shared" si="6"/>
        <v>316987.05728569592</v>
      </c>
      <c r="G98" s="306">
        <f t="shared" si="12"/>
        <v>316987.05728569592</v>
      </c>
      <c r="H98" s="303">
        <f t="shared" si="15"/>
        <v>161.78543009320907</v>
      </c>
      <c r="I98" s="303">
        <f t="shared" si="10"/>
        <v>161.78543009320907</v>
      </c>
      <c r="J98" s="304">
        <v>137.08000000000001</v>
      </c>
      <c r="K98" s="289"/>
      <c r="L98" s="288"/>
    </row>
    <row r="99" spans="1:12" s="35" customFormat="1" x14ac:dyDescent="0.25">
      <c r="A99" s="291" t="s">
        <v>439</v>
      </c>
      <c r="B99" s="297" t="s">
        <v>438</v>
      </c>
      <c r="C99" s="302">
        <f t="shared" si="13"/>
        <v>320409.03754687501</v>
      </c>
      <c r="D99" s="306">
        <f t="shared" si="14"/>
        <v>20666.382921773438</v>
      </c>
      <c r="E99" s="306">
        <f t="shared" si="11"/>
        <v>30438.858566953128</v>
      </c>
      <c r="F99" s="302">
        <f t="shared" si="6"/>
        <v>378659.40057289688</v>
      </c>
      <c r="G99" s="306">
        <f t="shared" si="12"/>
        <v>378659.40057289688</v>
      </c>
      <c r="H99" s="303">
        <f t="shared" si="15"/>
        <v>193.26206724367512</v>
      </c>
      <c r="I99" s="303">
        <f t="shared" si="10"/>
        <v>193.26206724367512</v>
      </c>
      <c r="J99" s="304">
        <v>163.75</v>
      </c>
      <c r="K99" s="289"/>
      <c r="L99" s="288"/>
    </row>
    <row r="100" spans="1:12" s="35" customFormat="1" x14ac:dyDescent="0.25">
      <c r="A100" s="291" t="s">
        <v>441</v>
      </c>
      <c r="B100" s="297" t="s">
        <v>440</v>
      </c>
      <c r="C100" s="302">
        <f t="shared" si="13"/>
        <v>250183.20330224998</v>
      </c>
      <c r="D100" s="306">
        <f t="shared" si="14"/>
        <v>16136.816612995124</v>
      </c>
      <c r="E100" s="306">
        <f t="shared" si="11"/>
        <v>23767.404313713749</v>
      </c>
      <c r="F100" s="302">
        <f t="shared" si="6"/>
        <v>295666.50966259901</v>
      </c>
      <c r="G100" s="306">
        <f t="shared" si="12"/>
        <v>295666.50966259901</v>
      </c>
      <c r="H100" s="303">
        <f t="shared" si="15"/>
        <v>150.90374300932089</v>
      </c>
      <c r="I100" s="303">
        <f t="shared" si="10"/>
        <v>150.90374300932089</v>
      </c>
      <c r="J100" s="304">
        <v>127.86</v>
      </c>
      <c r="K100" s="289"/>
      <c r="L100" s="288"/>
    </row>
    <row r="101" spans="1:12" s="35" customFormat="1" x14ac:dyDescent="0.25">
      <c r="A101" s="291" t="s">
        <v>443</v>
      </c>
      <c r="B101" s="297" t="s">
        <v>442</v>
      </c>
      <c r="C101" s="302">
        <f t="shared" si="13"/>
        <v>375274.80495337496</v>
      </c>
      <c r="D101" s="306">
        <f t="shared" si="14"/>
        <v>24205.224919492684</v>
      </c>
      <c r="E101" s="306">
        <f t="shared" si="11"/>
        <v>35651.106470570623</v>
      </c>
      <c r="F101" s="302">
        <f t="shared" si="6"/>
        <v>443499.76449389849</v>
      </c>
      <c r="G101" s="306">
        <f t="shared" si="12"/>
        <v>443499.76449389849</v>
      </c>
      <c r="H101" s="303">
        <f t="shared" si="15"/>
        <v>226.35561451398135</v>
      </c>
      <c r="I101" s="303">
        <f t="shared" si="10"/>
        <v>226.35561451398135</v>
      </c>
      <c r="J101" s="304">
        <v>191.79</v>
      </c>
      <c r="K101" s="289"/>
      <c r="L101" s="288"/>
    </row>
    <row r="102" spans="1:12" s="35" customFormat="1" x14ac:dyDescent="0.25">
      <c r="A102" s="291" t="s">
        <v>445</v>
      </c>
      <c r="B102" s="297" t="s">
        <v>444</v>
      </c>
      <c r="C102" s="302">
        <f t="shared" si="13"/>
        <v>500366.40660449996</v>
      </c>
      <c r="D102" s="306">
        <f t="shared" si="14"/>
        <v>32273.633225990248</v>
      </c>
      <c r="E102" s="306">
        <f t="shared" si="11"/>
        <v>47534.808627427497</v>
      </c>
      <c r="F102" s="302">
        <f t="shared" si="6"/>
        <v>591333.01932519802</v>
      </c>
      <c r="G102" s="306">
        <f t="shared" si="12"/>
        <v>591333.01932519802</v>
      </c>
      <c r="H102" s="303">
        <f t="shared" si="15"/>
        <v>301.80748601864178</v>
      </c>
      <c r="I102" s="303">
        <f t="shared" si="10"/>
        <v>301.80748601864178</v>
      </c>
      <c r="J102" s="304">
        <v>255.72</v>
      </c>
      <c r="K102" s="289"/>
      <c r="L102" s="288"/>
    </row>
    <row r="103" spans="1:12" s="35" customFormat="1" x14ac:dyDescent="0.25">
      <c r="A103" s="291" t="s">
        <v>447</v>
      </c>
      <c r="B103" s="297" t="s">
        <v>446</v>
      </c>
      <c r="C103" s="302">
        <f t="shared" si="13"/>
        <v>625477.57521975006</v>
      </c>
      <c r="D103" s="306">
        <f t="shared" si="14"/>
        <v>40343.303601673877</v>
      </c>
      <c r="E103" s="306">
        <f t="shared" si="11"/>
        <v>59420.369645876257</v>
      </c>
      <c r="F103" s="302">
        <f t="shared" si="6"/>
        <v>739189.39839470061</v>
      </c>
      <c r="G103" s="306">
        <f t="shared" si="12"/>
        <v>739189.39839470061</v>
      </c>
      <c r="H103" s="303">
        <f t="shared" si="15"/>
        <v>377.27115978695082</v>
      </c>
      <c r="I103" s="303">
        <f t="shared" si="10"/>
        <v>377.27115978695082</v>
      </c>
      <c r="J103" s="304">
        <v>319.66000000000003</v>
      </c>
      <c r="K103" s="289"/>
      <c r="L103" s="288"/>
    </row>
    <row r="104" spans="1:12" s="35" customFormat="1" ht="30" x14ac:dyDescent="0.25">
      <c r="A104" s="291" t="s">
        <v>449</v>
      </c>
      <c r="B104" s="297" t="s">
        <v>448</v>
      </c>
      <c r="C104" s="302">
        <f t="shared" si="13"/>
        <v>134111.97211275002</v>
      </c>
      <c r="D104" s="306">
        <f t="shared" si="14"/>
        <v>8650.222201272376</v>
      </c>
      <c r="E104" s="306">
        <f t="shared" si="11"/>
        <v>12740.637350711253</v>
      </c>
      <c r="F104" s="302">
        <f t="shared" si="6"/>
        <v>158493.52864284796</v>
      </c>
      <c r="G104" s="306">
        <f t="shared" si="12"/>
        <v>158493.52864284796</v>
      </c>
      <c r="H104" s="303">
        <f t="shared" si="15"/>
        <v>80.892715046604536</v>
      </c>
      <c r="I104" s="303">
        <f t="shared" si="10"/>
        <v>80.892715046604536</v>
      </c>
      <c r="J104" s="304">
        <v>68.540000000000006</v>
      </c>
      <c r="K104" s="289"/>
      <c r="L104" s="288"/>
    </row>
    <row r="105" spans="1:12" s="35" customFormat="1" ht="30" x14ac:dyDescent="0.25">
      <c r="A105" s="291" t="s">
        <v>451</v>
      </c>
      <c r="B105" s="297" t="s">
        <v>450</v>
      </c>
      <c r="C105" s="302">
        <f t="shared" si="13"/>
        <v>178802.91817424999</v>
      </c>
      <c r="D105" s="306">
        <f t="shared" si="14"/>
        <v>11532.788222239125</v>
      </c>
      <c r="E105" s="306">
        <f t="shared" si="11"/>
        <v>16986.27722655375</v>
      </c>
      <c r="F105" s="302">
        <f t="shared" si="6"/>
        <v>211309.28869832863</v>
      </c>
      <c r="G105" s="306">
        <f t="shared" si="12"/>
        <v>211309.28869832863</v>
      </c>
      <c r="H105" s="303">
        <f t="shared" si="15"/>
        <v>107.84908521970705</v>
      </c>
      <c r="I105" s="303">
        <f t="shared" si="10"/>
        <v>107.84908521970705</v>
      </c>
      <c r="J105" s="304">
        <v>91.38</v>
      </c>
      <c r="K105" s="289"/>
      <c r="L105" s="288"/>
    </row>
    <row r="106" spans="1:12" s="35" customFormat="1" ht="30" x14ac:dyDescent="0.25">
      <c r="A106" s="291" t="s">
        <v>453</v>
      </c>
      <c r="B106" s="297" t="s">
        <v>452</v>
      </c>
      <c r="C106" s="302">
        <f t="shared" si="13"/>
        <v>160194.73529137499</v>
      </c>
      <c r="D106" s="306">
        <f t="shared" si="14"/>
        <v>10332.560426293687</v>
      </c>
      <c r="E106" s="306">
        <f t="shared" si="11"/>
        <v>15218.499852680625</v>
      </c>
      <c r="F106" s="302">
        <f t="shared" si="6"/>
        <v>189318.13816734697</v>
      </c>
      <c r="G106" s="306">
        <f t="shared" si="12"/>
        <v>189318.13816734697</v>
      </c>
      <c r="H106" s="303">
        <f t="shared" si="15"/>
        <v>96.625132490013328</v>
      </c>
      <c r="I106" s="303">
        <f t="shared" si="10"/>
        <v>96.625132490013328</v>
      </c>
      <c r="J106" s="304">
        <v>81.87</v>
      </c>
      <c r="K106" s="289"/>
      <c r="L106" s="288"/>
    </row>
    <row r="107" spans="1:12" s="35" customFormat="1" ht="30" x14ac:dyDescent="0.25">
      <c r="A107" s="291" t="s">
        <v>455</v>
      </c>
      <c r="B107" s="297" t="s">
        <v>454</v>
      </c>
      <c r="C107" s="302">
        <f t="shared" si="13"/>
        <v>213612.547352625</v>
      </c>
      <c r="D107" s="306">
        <f t="shared" si="14"/>
        <v>13778.009304244313</v>
      </c>
      <c r="E107" s="306">
        <f t="shared" si="11"/>
        <v>20293.191998499376</v>
      </c>
      <c r="F107" s="302">
        <f t="shared" si="6"/>
        <v>252447.30846133223</v>
      </c>
      <c r="G107" s="306">
        <f t="shared" si="12"/>
        <v>252447.30846133223</v>
      </c>
      <c r="H107" s="303">
        <f t="shared" si="15"/>
        <v>128.84531225033291</v>
      </c>
      <c r="I107" s="303">
        <f t="shared" si="10"/>
        <v>128.84531225033291</v>
      </c>
      <c r="J107" s="304">
        <v>109.17</v>
      </c>
      <c r="K107" s="289"/>
      <c r="L107" s="288"/>
    </row>
    <row r="108" spans="1:12" s="35" customFormat="1" x14ac:dyDescent="0.25">
      <c r="A108" s="291" t="s">
        <v>457</v>
      </c>
      <c r="B108" s="297" t="s">
        <v>456</v>
      </c>
      <c r="C108" s="302">
        <f t="shared" si="13"/>
        <v>178802.91817424999</v>
      </c>
      <c r="D108" s="306">
        <f t="shared" si="14"/>
        <v>11532.788222239125</v>
      </c>
      <c r="E108" s="306">
        <f t="shared" si="11"/>
        <v>16986.27722655375</v>
      </c>
      <c r="F108" s="302">
        <f t="shared" si="6"/>
        <v>211309.28869832863</v>
      </c>
      <c r="G108" s="306">
        <f t="shared" si="12"/>
        <v>211309.28869832863</v>
      </c>
      <c r="H108" s="303">
        <f t="shared" si="15"/>
        <v>107.84908521970705</v>
      </c>
      <c r="I108" s="303">
        <f t="shared" si="10"/>
        <v>107.84908521970705</v>
      </c>
      <c r="J108" s="304">
        <v>91.38</v>
      </c>
      <c r="K108" s="289"/>
      <c r="L108" s="288"/>
    </row>
    <row r="109" spans="1:12" s="35" customFormat="1" x14ac:dyDescent="0.25">
      <c r="A109" s="291" t="s">
        <v>459</v>
      </c>
      <c r="B109" s="297" t="s">
        <v>458</v>
      </c>
      <c r="C109" s="302">
        <f t="shared" si="13"/>
        <v>213612.547352625</v>
      </c>
      <c r="D109" s="306">
        <f t="shared" si="14"/>
        <v>13778.009304244313</v>
      </c>
      <c r="E109" s="306">
        <f t="shared" si="11"/>
        <v>20293.191998499376</v>
      </c>
      <c r="F109" s="302">
        <f t="shared" si="6"/>
        <v>252447.30846133223</v>
      </c>
      <c r="G109" s="306">
        <f t="shared" si="12"/>
        <v>252447.30846133223</v>
      </c>
      <c r="H109" s="303">
        <f t="shared" si="15"/>
        <v>128.84531225033291</v>
      </c>
      <c r="I109" s="303">
        <f t="shared" si="10"/>
        <v>128.84531225033291</v>
      </c>
      <c r="J109" s="304">
        <v>109.17</v>
      </c>
      <c r="K109" s="289"/>
      <c r="L109" s="288"/>
    </row>
    <row r="110" spans="1:12" x14ac:dyDescent="0.25">
      <c r="C110" s="84"/>
      <c r="D110" s="84"/>
      <c r="E110" s="84"/>
      <c r="F110" s="222"/>
      <c r="G110" s="84"/>
      <c r="H110" s="84"/>
      <c r="I110" s="84"/>
      <c r="J110" s="222"/>
      <c r="K110" s="222"/>
    </row>
    <row r="111" spans="1:12" x14ac:dyDescent="0.25">
      <c r="C111" s="84"/>
      <c r="D111" s="84"/>
      <c r="E111" s="84"/>
      <c r="F111" s="84"/>
      <c r="G111" s="84"/>
      <c r="H111" s="84"/>
      <c r="I111" s="84"/>
    </row>
    <row r="112" spans="1:12" x14ac:dyDescent="0.25">
      <c r="C112" s="84"/>
      <c r="D112" s="84"/>
      <c r="E112" s="84"/>
      <c r="F112" s="222"/>
      <c r="G112" s="84"/>
      <c r="H112" s="84"/>
      <c r="I112" s="84"/>
    </row>
    <row r="116" spans="3:9" x14ac:dyDescent="0.25">
      <c r="C116" s="84"/>
      <c r="D116" s="84"/>
      <c r="E116" s="84"/>
      <c r="F116" s="84"/>
      <c r="G116" s="84"/>
      <c r="H116" s="84"/>
      <c r="I116" s="84"/>
    </row>
    <row r="117" spans="3:9" x14ac:dyDescent="0.25">
      <c r="C117" s="84"/>
      <c r="D117" s="84"/>
      <c r="E117" s="84"/>
      <c r="F117" s="84"/>
      <c r="G117" s="84"/>
      <c r="H117" s="84"/>
      <c r="I117" s="84"/>
    </row>
    <row r="118" spans="3:9" x14ac:dyDescent="0.25">
      <c r="C118" s="84"/>
      <c r="D118" s="84"/>
      <c r="E118" s="84"/>
      <c r="F118" s="84"/>
      <c r="G118" s="84"/>
      <c r="H118" s="84"/>
      <c r="I118" s="84"/>
    </row>
    <row r="119" spans="3:9" x14ac:dyDescent="0.25">
      <c r="E119" s="84"/>
      <c r="F119" s="84"/>
      <c r="G119" s="84"/>
      <c r="H119" s="84"/>
      <c r="I119" s="84"/>
    </row>
    <row r="120" spans="3:9" x14ac:dyDescent="0.25">
      <c r="E120" s="84"/>
      <c r="F120" s="84"/>
      <c r="G120" s="84"/>
      <c r="H120" s="84"/>
      <c r="I120" s="84"/>
    </row>
    <row r="121" spans="3:9" x14ac:dyDescent="0.25">
      <c r="E121" s="84"/>
      <c r="F121" s="84"/>
      <c r="G121" s="84"/>
      <c r="H121" s="84"/>
      <c r="I121" s="84"/>
    </row>
    <row r="122" spans="3:9" x14ac:dyDescent="0.25">
      <c r="E122" s="84"/>
      <c r="F122" s="84"/>
      <c r="G122" s="84"/>
      <c r="H122" s="84"/>
      <c r="I122" s="84"/>
    </row>
    <row r="123" spans="3:9" x14ac:dyDescent="0.25">
      <c r="E123" s="84"/>
      <c r="F123" s="84"/>
      <c r="G123" s="84"/>
      <c r="H123" s="84"/>
      <c r="I123" s="84"/>
    </row>
    <row r="124" spans="3:9" x14ac:dyDescent="0.25">
      <c r="E124" s="84"/>
      <c r="F124" s="84"/>
      <c r="G124" s="84"/>
      <c r="H124" s="84"/>
      <c r="I124" s="84"/>
    </row>
    <row r="125" spans="3:9" x14ac:dyDescent="0.25">
      <c r="E125" s="84"/>
      <c r="F125" s="84"/>
      <c r="G125" s="84"/>
      <c r="H125" s="84"/>
      <c r="I125" s="84"/>
    </row>
    <row r="126" spans="3:9" x14ac:dyDescent="0.25">
      <c r="E126" s="84"/>
      <c r="F126" s="84"/>
      <c r="G126" s="84"/>
      <c r="H126" s="84"/>
      <c r="I126" s="84"/>
    </row>
    <row r="127" spans="3:9" x14ac:dyDescent="0.25">
      <c r="E127" s="84"/>
      <c r="F127" s="84"/>
      <c r="G127" s="84"/>
      <c r="H127" s="84"/>
      <c r="I127" s="84"/>
    </row>
    <row r="128" spans="3:9" x14ac:dyDescent="0.25">
      <c r="E128" s="84"/>
      <c r="F128" s="84"/>
      <c r="G128" s="84"/>
      <c r="H128" s="84"/>
      <c r="I128" s="84"/>
    </row>
    <row r="129" spans="3:9" x14ac:dyDescent="0.25">
      <c r="E129" s="84"/>
      <c r="F129" s="84"/>
      <c r="G129" s="84"/>
      <c r="H129" s="84"/>
      <c r="I129" s="84"/>
    </row>
    <row r="130" spans="3:9" x14ac:dyDescent="0.25">
      <c r="C130" s="80"/>
      <c r="D130" s="80"/>
      <c r="E130" s="80"/>
      <c r="F130" s="79"/>
      <c r="G130" s="79"/>
      <c r="H130" s="79"/>
      <c r="I130" s="79"/>
    </row>
    <row r="131" spans="3:9" x14ac:dyDescent="0.25">
      <c r="C131" s="80"/>
      <c r="D131" s="80"/>
      <c r="E131" s="80"/>
      <c r="F131" s="79"/>
      <c r="G131" s="79"/>
      <c r="H131" s="79"/>
      <c r="I131" s="79"/>
    </row>
    <row r="132" spans="3:9" x14ac:dyDescent="0.25">
      <c r="C132" s="80"/>
      <c r="D132" s="80"/>
      <c r="E132" s="80"/>
      <c r="F132" s="79"/>
      <c r="G132" s="79"/>
      <c r="H132" s="79"/>
      <c r="I132" s="79"/>
    </row>
    <row r="133" spans="3:9" x14ac:dyDescent="0.25">
      <c r="C133" s="80"/>
      <c r="D133" s="80"/>
      <c r="E133" s="80"/>
      <c r="F133" s="79"/>
      <c r="G133" s="79"/>
      <c r="H133" s="79"/>
      <c r="I133" s="79"/>
    </row>
    <row r="134" spans="3:9" x14ac:dyDescent="0.25">
      <c r="C134" s="80"/>
      <c r="D134" s="80"/>
      <c r="E134" s="80"/>
      <c r="F134" s="79"/>
      <c r="G134" s="79"/>
      <c r="H134" s="79"/>
      <c r="I134" s="79"/>
    </row>
    <row r="135" spans="3:9" x14ac:dyDescent="0.25">
      <c r="C135" s="80"/>
      <c r="D135" s="80"/>
      <c r="E135" s="80"/>
      <c r="F135" s="79"/>
      <c r="G135" s="79"/>
      <c r="H135" s="79"/>
      <c r="I135" s="79"/>
    </row>
    <row r="136" spans="3:9" x14ac:dyDescent="0.25">
      <c r="C136" s="80"/>
      <c r="D136" s="80"/>
      <c r="E136" s="80"/>
      <c r="F136" s="79"/>
      <c r="G136" s="79"/>
      <c r="H136" s="79"/>
      <c r="I136" s="79"/>
    </row>
    <row r="137" spans="3:9" x14ac:dyDescent="0.25">
      <c r="C137" s="80"/>
      <c r="D137" s="80"/>
      <c r="E137" s="80"/>
      <c r="F137" s="79"/>
      <c r="G137" s="79"/>
      <c r="H137" s="79"/>
      <c r="I137" s="79"/>
    </row>
    <row r="138" spans="3:9" x14ac:dyDescent="0.25">
      <c r="C138" s="80"/>
      <c r="D138" s="80"/>
      <c r="E138" s="80"/>
      <c r="F138" s="79"/>
      <c r="G138" s="79"/>
      <c r="H138" s="79"/>
      <c r="I138" s="79"/>
    </row>
    <row r="139" spans="3:9" x14ac:dyDescent="0.25">
      <c r="C139" s="80"/>
      <c r="D139" s="80"/>
      <c r="E139" s="80"/>
      <c r="F139" s="79"/>
      <c r="G139" s="79"/>
      <c r="H139" s="79"/>
      <c r="I139" s="79"/>
    </row>
    <row r="140" spans="3:9" x14ac:dyDescent="0.25">
      <c r="C140" s="80"/>
      <c r="D140" s="80"/>
      <c r="E140" s="80"/>
      <c r="F140" s="79"/>
      <c r="G140" s="79"/>
      <c r="H140" s="79"/>
      <c r="I140" s="79"/>
    </row>
    <row r="141" spans="3:9" x14ac:dyDescent="0.25">
      <c r="C141" s="80"/>
      <c r="D141" s="80"/>
      <c r="E141" s="80"/>
      <c r="F141" s="79"/>
      <c r="G141" s="79"/>
      <c r="H141" s="79"/>
      <c r="I141" s="79"/>
    </row>
    <row r="142" spans="3:9" x14ac:dyDescent="0.25">
      <c r="C142" s="80"/>
      <c r="D142" s="80"/>
      <c r="E142" s="80"/>
      <c r="F142" s="79"/>
      <c r="G142" s="79"/>
      <c r="H142" s="79"/>
      <c r="I142" s="79"/>
    </row>
    <row r="143" spans="3:9" x14ac:dyDescent="0.25">
      <c r="C143" s="80"/>
      <c r="D143" s="80"/>
      <c r="E143" s="80"/>
      <c r="F143" s="79"/>
      <c r="G143" s="79"/>
      <c r="H143" s="79"/>
      <c r="I143" s="79"/>
    </row>
    <row r="144" spans="3:9" x14ac:dyDescent="0.25">
      <c r="C144" s="80"/>
      <c r="D144" s="80"/>
      <c r="E144" s="80"/>
      <c r="F144" s="79"/>
      <c r="G144" s="79"/>
      <c r="H144" s="79"/>
      <c r="I144" s="79"/>
    </row>
    <row r="145" spans="3:9" x14ac:dyDescent="0.25">
      <c r="C145" s="80"/>
      <c r="D145" s="80"/>
      <c r="E145" s="80"/>
      <c r="F145" s="79"/>
      <c r="G145" s="79"/>
      <c r="H145" s="79"/>
      <c r="I145" s="79"/>
    </row>
    <row r="146" spans="3:9" x14ac:dyDescent="0.25">
      <c r="C146" s="80"/>
      <c r="D146" s="80"/>
      <c r="E146" s="80"/>
      <c r="F146" s="79"/>
      <c r="G146" s="79"/>
      <c r="H146" s="79"/>
      <c r="I146" s="79"/>
    </row>
    <row r="147" spans="3:9" x14ac:dyDescent="0.25">
      <c r="C147" s="80"/>
      <c r="D147" s="80"/>
      <c r="E147" s="80"/>
      <c r="F147" s="79"/>
      <c r="G147" s="79"/>
      <c r="H147" s="79"/>
      <c r="I147" s="79"/>
    </row>
    <row r="148" spans="3:9" x14ac:dyDescent="0.25">
      <c r="C148" s="80"/>
      <c r="D148" s="80"/>
      <c r="E148" s="80"/>
      <c r="F148" s="79"/>
      <c r="G148" s="79"/>
      <c r="H148" s="79"/>
      <c r="I148" s="79"/>
    </row>
    <row r="149" spans="3:9" x14ac:dyDescent="0.25">
      <c r="C149" s="80"/>
      <c r="D149" s="80"/>
      <c r="E149" s="80"/>
      <c r="F149" s="79"/>
      <c r="G149" s="79"/>
      <c r="H149" s="79"/>
      <c r="I149" s="79"/>
    </row>
    <row r="150" spans="3:9" x14ac:dyDescent="0.25">
      <c r="C150" s="80"/>
      <c r="D150" s="80"/>
      <c r="E150" s="80"/>
      <c r="F150" s="79"/>
      <c r="G150" s="79"/>
      <c r="H150" s="79"/>
      <c r="I150" s="79"/>
    </row>
    <row r="151" spans="3:9" x14ac:dyDescent="0.25">
      <c r="C151" s="80"/>
      <c r="D151" s="80"/>
      <c r="E151" s="80"/>
      <c r="F151" s="79"/>
      <c r="G151" s="79"/>
      <c r="H151" s="79"/>
      <c r="I151" s="79"/>
    </row>
    <row r="152" spans="3:9" x14ac:dyDescent="0.25">
      <c r="C152" s="80"/>
      <c r="D152" s="80"/>
      <c r="E152" s="80"/>
      <c r="F152" s="79"/>
      <c r="G152" s="79"/>
      <c r="H152" s="79"/>
      <c r="I152" s="79"/>
    </row>
    <row r="153" spans="3:9" x14ac:dyDescent="0.25">
      <c r="C153" s="80"/>
      <c r="D153" s="80"/>
      <c r="E153" s="80"/>
      <c r="F153" s="79"/>
      <c r="G153" s="79"/>
      <c r="H153" s="79"/>
      <c r="I153" s="79"/>
    </row>
    <row r="154" spans="3:9" x14ac:dyDescent="0.25">
      <c r="C154" s="80"/>
      <c r="D154" s="80"/>
      <c r="E154" s="80"/>
      <c r="F154" s="79"/>
      <c r="G154" s="79"/>
      <c r="H154" s="79"/>
      <c r="I154" s="79"/>
    </row>
    <row r="155" spans="3:9" x14ac:dyDescent="0.25">
      <c r="C155" s="80"/>
      <c r="D155" s="80"/>
      <c r="E155" s="80"/>
      <c r="F155" s="79"/>
      <c r="G155" s="79"/>
      <c r="H155" s="79"/>
      <c r="I155" s="79"/>
    </row>
    <row r="156" spans="3:9" x14ac:dyDescent="0.25">
      <c r="C156" s="80"/>
      <c r="D156" s="80"/>
      <c r="E156" s="80"/>
      <c r="F156" s="79"/>
      <c r="G156" s="79"/>
      <c r="H156" s="79"/>
      <c r="I156" s="79"/>
    </row>
    <row r="157" spans="3:9" x14ac:dyDescent="0.25">
      <c r="C157" s="80"/>
      <c r="D157" s="80"/>
      <c r="E157" s="80"/>
      <c r="F157" s="79"/>
      <c r="G157" s="79"/>
      <c r="H157" s="79"/>
      <c r="I157" s="79"/>
    </row>
    <row r="158" spans="3:9" x14ac:dyDescent="0.25">
      <c r="C158" s="80"/>
      <c r="D158" s="80"/>
      <c r="E158" s="80"/>
      <c r="F158" s="79"/>
      <c r="G158" s="79"/>
      <c r="H158" s="79"/>
      <c r="I158" s="79"/>
    </row>
    <row r="159" spans="3:9" x14ac:dyDescent="0.25">
      <c r="C159" s="80"/>
      <c r="D159" s="80"/>
      <c r="E159" s="80"/>
      <c r="F159" s="79"/>
      <c r="G159" s="79"/>
      <c r="H159" s="79"/>
      <c r="I159" s="79"/>
    </row>
    <row r="160" spans="3:9" x14ac:dyDescent="0.25">
      <c r="C160" s="80"/>
      <c r="D160" s="80"/>
      <c r="E160" s="80"/>
      <c r="F160" s="79"/>
      <c r="G160" s="79"/>
      <c r="H160" s="79"/>
      <c r="I160" s="79"/>
    </row>
    <row r="161" spans="3:9" x14ac:dyDescent="0.25">
      <c r="C161" s="80"/>
      <c r="D161" s="80"/>
      <c r="E161" s="80"/>
      <c r="F161" s="79"/>
      <c r="G161" s="79"/>
      <c r="H161" s="79"/>
      <c r="I161" s="79"/>
    </row>
    <row r="162" spans="3:9" x14ac:dyDescent="0.25">
      <c r="C162" s="80"/>
      <c r="D162" s="80"/>
      <c r="E162" s="80"/>
      <c r="F162" s="79"/>
      <c r="G162" s="79"/>
      <c r="H162" s="79"/>
      <c r="I162" s="79"/>
    </row>
    <row r="163" spans="3:9" x14ac:dyDescent="0.25">
      <c r="C163" s="80"/>
      <c r="D163" s="80"/>
      <c r="E163" s="80"/>
      <c r="F163" s="79"/>
      <c r="G163" s="79"/>
      <c r="H163" s="79"/>
      <c r="I163" s="79"/>
    </row>
    <row r="164" spans="3:9" x14ac:dyDescent="0.25">
      <c r="C164" s="80"/>
      <c r="D164" s="80"/>
      <c r="E164" s="80"/>
      <c r="F164" s="79"/>
      <c r="G164" s="79"/>
      <c r="H164" s="79"/>
      <c r="I164" s="79"/>
    </row>
    <row r="165" spans="3:9" x14ac:dyDescent="0.25">
      <c r="C165" s="80"/>
      <c r="D165" s="80"/>
      <c r="E165" s="80"/>
      <c r="F165" s="79"/>
      <c r="G165" s="79"/>
      <c r="H165" s="79"/>
      <c r="I165" s="79"/>
    </row>
    <row r="166" spans="3:9" x14ac:dyDescent="0.25">
      <c r="C166" s="80"/>
      <c r="D166" s="80"/>
      <c r="E166" s="80"/>
      <c r="F166" s="79"/>
      <c r="G166" s="79"/>
      <c r="H166" s="79"/>
      <c r="I166" s="79"/>
    </row>
    <row r="167" spans="3:9" x14ac:dyDescent="0.25">
      <c r="C167" s="80"/>
      <c r="D167" s="80"/>
      <c r="E167" s="80"/>
      <c r="F167" s="79"/>
      <c r="G167" s="79"/>
      <c r="H167" s="79"/>
      <c r="I167" s="79"/>
    </row>
    <row r="168" spans="3:9" x14ac:dyDescent="0.25">
      <c r="C168" s="80"/>
      <c r="D168" s="80"/>
      <c r="E168" s="80"/>
      <c r="F168" s="79"/>
      <c r="G168" s="79"/>
      <c r="H168" s="79"/>
      <c r="I168" s="79"/>
    </row>
    <row r="169" spans="3:9" x14ac:dyDescent="0.25">
      <c r="C169" s="80"/>
      <c r="D169" s="80"/>
      <c r="E169" s="80"/>
      <c r="F169" s="79"/>
      <c r="G169" s="79"/>
      <c r="H169" s="79"/>
      <c r="I169" s="79"/>
    </row>
    <row r="170" spans="3:9" x14ac:dyDescent="0.25">
      <c r="C170" s="80"/>
      <c r="D170" s="80"/>
      <c r="E170" s="80"/>
      <c r="F170" s="79"/>
      <c r="G170" s="79"/>
      <c r="H170" s="79"/>
      <c r="I170" s="79"/>
    </row>
    <row r="171" spans="3:9" x14ac:dyDescent="0.25">
      <c r="C171" s="80"/>
      <c r="D171" s="80"/>
      <c r="E171" s="80"/>
      <c r="F171" s="79"/>
      <c r="G171" s="79"/>
      <c r="H171" s="79"/>
      <c r="I171" s="79"/>
    </row>
    <row r="172" spans="3:9" x14ac:dyDescent="0.25">
      <c r="C172" s="80"/>
      <c r="D172" s="80"/>
      <c r="E172" s="80"/>
      <c r="F172" s="79"/>
      <c r="G172" s="79"/>
      <c r="H172" s="79"/>
      <c r="I172" s="79"/>
    </row>
    <row r="173" spans="3:9" x14ac:dyDescent="0.25">
      <c r="C173" s="80"/>
      <c r="D173" s="80"/>
      <c r="E173" s="80"/>
      <c r="F173" s="79"/>
      <c r="G173" s="79"/>
      <c r="H173" s="79"/>
      <c r="I173" s="79"/>
    </row>
    <row r="174" spans="3:9" x14ac:dyDescent="0.25">
      <c r="C174" s="80"/>
      <c r="D174" s="80"/>
      <c r="E174" s="80"/>
      <c r="F174" s="79"/>
      <c r="G174" s="79"/>
      <c r="H174" s="79"/>
      <c r="I174" s="79"/>
    </row>
    <row r="175" spans="3:9" x14ac:dyDescent="0.25">
      <c r="C175" s="80"/>
      <c r="D175" s="80"/>
      <c r="E175" s="80"/>
      <c r="F175" s="79"/>
      <c r="G175" s="79"/>
      <c r="H175" s="79"/>
      <c r="I175" s="79"/>
    </row>
    <row r="176" spans="3:9" x14ac:dyDescent="0.25">
      <c r="C176" s="80"/>
      <c r="D176" s="80"/>
      <c r="E176" s="80"/>
      <c r="F176" s="79"/>
      <c r="G176" s="79"/>
      <c r="H176" s="79"/>
      <c r="I176" s="79"/>
    </row>
    <row r="177" spans="3:9" x14ac:dyDescent="0.25">
      <c r="C177" s="80"/>
      <c r="D177" s="80"/>
      <c r="E177" s="80"/>
      <c r="F177" s="79"/>
      <c r="G177" s="79"/>
      <c r="H177" s="79"/>
      <c r="I177" s="79"/>
    </row>
    <row r="178" spans="3:9" x14ac:dyDescent="0.25">
      <c r="C178" s="80"/>
      <c r="D178" s="80"/>
      <c r="E178" s="80"/>
      <c r="F178" s="79"/>
      <c r="G178" s="79"/>
      <c r="H178" s="79"/>
      <c r="I178" s="79"/>
    </row>
    <row r="179" spans="3:9" x14ac:dyDescent="0.25">
      <c r="C179" s="80"/>
      <c r="D179" s="80"/>
      <c r="E179" s="80"/>
      <c r="F179" s="79"/>
      <c r="G179" s="79"/>
      <c r="H179" s="79"/>
      <c r="I179" s="79"/>
    </row>
    <row r="180" spans="3:9" x14ac:dyDescent="0.25">
      <c r="C180" s="80"/>
      <c r="D180" s="80"/>
      <c r="E180" s="80"/>
      <c r="F180" s="79"/>
      <c r="G180" s="79"/>
      <c r="H180" s="79"/>
      <c r="I180" s="79"/>
    </row>
    <row r="181" spans="3:9" x14ac:dyDescent="0.25">
      <c r="C181" s="80"/>
      <c r="D181" s="80"/>
      <c r="E181" s="80"/>
      <c r="F181" s="79"/>
      <c r="G181" s="79"/>
      <c r="H181" s="79"/>
      <c r="I181" s="79"/>
    </row>
    <row r="182" spans="3:9" x14ac:dyDescent="0.25">
      <c r="C182" s="80"/>
      <c r="D182" s="80"/>
      <c r="E182" s="80"/>
      <c r="F182" s="79"/>
      <c r="G182" s="79"/>
      <c r="H182" s="79"/>
      <c r="I182" s="79"/>
    </row>
    <row r="183" spans="3:9" x14ac:dyDescent="0.25">
      <c r="C183" s="80"/>
      <c r="D183" s="80"/>
      <c r="E183" s="80"/>
      <c r="F183" s="79"/>
      <c r="G183" s="79"/>
      <c r="H183" s="79"/>
      <c r="I183" s="79"/>
    </row>
    <row r="184" spans="3:9" x14ac:dyDescent="0.25">
      <c r="C184" s="80"/>
      <c r="D184" s="80"/>
      <c r="E184" s="80"/>
      <c r="F184" s="79"/>
      <c r="G184" s="79"/>
      <c r="H184" s="79"/>
      <c r="I184" s="79"/>
    </row>
    <row r="185" spans="3:9" x14ac:dyDescent="0.25">
      <c r="C185" s="80"/>
      <c r="D185" s="80"/>
      <c r="E185" s="80"/>
      <c r="F185" s="79"/>
      <c r="G185" s="79"/>
      <c r="H185" s="79"/>
      <c r="I185" s="79"/>
    </row>
    <row r="186" spans="3:9" x14ac:dyDescent="0.25">
      <c r="C186" s="80"/>
      <c r="D186" s="80"/>
      <c r="E186" s="80"/>
      <c r="F186" s="79"/>
      <c r="G186" s="79"/>
      <c r="H186" s="79"/>
      <c r="I186" s="79"/>
    </row>
    <row r="187" spans="3:9" x14ac:dyDescent="0.25">
      <c r="C187" s="80"/>
      <c r="D187" s="80"/>
      <c r="E187" s="80"/>
      <c r="F187" s="79"/>
      <c r="G187" s="79"/>
      <c r="H187" s="79"/>
      <c r="I187" s="79"/>
    </row>
    <row r="188" spans="3:9" x14ac:dyDescent="0.25">
      <c r="C188" s="80"/>
      <c r="D188" s="80"/>
      <c r="E188" s="80"/>
      <c r="F188" s="79"/>
      <c r="G188" s="79"/>
      <c r="H188" s="79"/>
      <c r="I188" s="79"/>
    </row>
    <row r="189" spans="3:9" x14ac:dyDescent="0.25">
      <c r="C189" s="80"/>
      <c r="D189" s="80"/>
      <c r="E189" s="80"/>
      <c r="F189" s="79"/>
      <c r="G189" s="79"/>
      <c r="H189" s="79"/>
      <c r="I189" s="79"/>
    </row>
    <row r="190" spans="3:9" x14ac:dyDescent="0.25">
      <c r="C190" s="80"/>
      <c r="D190" s="80"/>
      <c r="E190" s="80"/>
      <c r="F190" s="79"/>
      <c r="G190" s="79"/>
      <c r="H190" s="79"/>
      <c r="I190" s="79"/>
    </row>
    <row r="191" spans="3:9" x14ac:dyDescent="0.25">
      <c r="C191" s="80"/>
      <c r="D191" s="80"/>
      <c r="E191" s="80"/>
      <c r="F191" s="79"/>
      <c r="G191" s="79"/>
      <c r="H191" s="79"/>
      <c r="I191" s="79"/>
    </row>
    <row r="192" spans="3:9" x14ac:dyDescent="0.25">
      <c r="C192" s="80"/>
      <c r="D192" s="80"/>
      <c r="E192" s="80"/>
      <c r="F192" s="79"/>
      <c r="G192" s="79"/>
      <c r="H192" s="79"/>
      <c r="I192" s="79"/>
    </row>
    <row r="193" spans="3:9" x14ac:dyDescent="0.25">
      <c r="C193" s="80"/>
      <c r="D193" s="80"/>
      <c r="E193" s="80"/>
      <c r="F193" s="79"/>
      <c r="G193" s="79"/>
      <c r="H193" s="79"/>
      <c r="I193" s="79"/>
    </row>
    <row r="194" spans="3:9" x14ac:dyDescent="0.25">
      <c r="C194" s="80"/>
      <c r="D194" s="80"/>
      <c r="E194" s="80"/>
      <c r="F194" s="79"/>
      <c r="G194" s="79"/>
      <c r="H194" s="79"/>
      <c r="I194" s="79"/>
    </row>
    <row r="195" spans="3:9" x14ac:dyDescent="0.25">
      <c r="C195" s="80"/>
      <c r="D195" s="80"/>
      <c r="E195" s="80"/>
      <c r="F195" s="79"/>
      <c r="G195" s="79"/>
      <c r="H195" s="79"/>
      <c r="I195" s="79"/>
    </row>
    <row r="196" spans="3:9" x14ac:dyDescent="0.25">
      <c r="C196" s="80"/>
      <c r="D196" s="80"/>
      <c r="E196" s="80"/>
      <c r="F196" s="79"/>
      <c r="G196" s="79"/>
      <c r="H196" s="79"/>
      <c r="I196" s="79"/>
    </row>
    <row r="197" spans="3:9" x14ac:dyDescent="0.25">
      <c r="C197" s="80"/>
      <c r="D197" s="80"/>
      <c r="E197" s="80"/>
      <c r="F197" s="79"/>
      <c r="G197" s="79"/>
      <c r="H197" s="79"/>
      <c r="I197" s="79"/>
    </row>
    <row r="198" spans="3:9" x14ac:dyDescent="0.25">
      <c r="C198" s="80"/>
      <c r="D198" s="80"/>
      <c r="E198" s="80"/>
      <c r="F198" s="79"/>
      <c r="G198" s="79"/>
      <c r="H198" s="79"/>
      <c r="I198" s="79"/>
    </row>
    <row r="199" spans="3:9" x14ac:dyDescent="0.25">
      <c r="C199" s="80"/>
      <c r="D199" s="80"/>
      <c r="E199" s="80"/>
      <c r="F199" s="79"/>
      <c r="G199" s="79"/>
      <c r="H199" s="79"/>
      <c r="I199" s="79"/>
    </row>
    <row r="200" spans="3:9" x14ac:dyDescent="0.25">
      <c r="C200" s="80"/>
      <c r="D200" s="80"/>
      <c r="E200" s="80"/>
      <c r="F200" s="79"/>
      <c r="G200" s="79"/>
      <c r="H200" s="79"/>
      <c r="I200" s="79"/>
    </row>
    <row r="201" spans="3:9" x14ac:dyDescent="0.25">
      <c r="C201" s="80"/>
      <c r="D201" s="80"/>
      <c r="E201" s="80"/>
      <c r="F201" s="79"/>
      <c r="G201" s="79"/>
      <c r="H201" s="79"/>
      <c r="I201" s="79"/>
    </row>
    <row r="202" spans="3:9" x14ac:dyDescent="0.25">
      <c r="C202" s="80"/>
      <c r="D202" s="80"/>
      <c r="E202" s="80"/>
      <c r="F202" s="79"/>
      <c r="G202" s="79"/>
      <c r="H202" s="79"/>
      <c r="I202" s="79"/>
    </row>
    <row r="203" spans="3:9" x14ac:dyDescent="0.25">
      <c r="C203" s="80"/>
      <c r="D203" s="80"/>
      <c r="E203" s="80"/>
      <c r="F203" s="79"/>
      <c r="G203" s="79"/>
      <c r="H203" s="79"/>
      <c r="I203" s="79"/>
    </row>
    <row r="204" spans="3:9" x14ac:dyDescent="0.25">
      <c r="C204" s="80"/>
      <c r="D204" s="80"/>
      <c r="E204" s="80"/>
      <c r="F204" s="79"/>
      <c r="G204" s="79"/>
      <c r="H204" s="79"/>
      <c r="I204" s="79"/>
    </row>
    <row r="205" spans="3:9" x14ac:dyDescent="0.25">
      <c r="C205" s="80"/>
      <c r="D205" s="80"/>
      <c r="E205" s="80"/>
      <c r="F205" s="79"/>
      <c r="G205" s="79"/>
      <c r="H205" s="79"/>
      <c r="I205" s="79"/>
    </row>
    <row r="206" spans="3:9" x14ac:dyDescent="0.25">
      <c r="C206" s="80"/>
      <c r="D206" s="80"/>
      <c r="E206" s="80"/>
      <c r="F206" s="79"/>
      <c r="G206" s="79"/>
      <c r="H206" s="79"/>
      <c r="I206" s="79"/>
    </row>
    <row r="207" spans="3:9" x14ac:dyDescent="0.25">
      <c r="C207" s="80"/>
      <c r="D207" s="80"/>
      <c r="E207" s="80"/>
      <c r="F207" s="79"/>
      <c r="G207" s="79"/>
      <c r="H207" s="79"/>
      <c r="I207" s="79"/>
    </row>
    <row r="208" spans="3:9" x14ac:dyDescent="0.25">
      <c r="C208" s="80"/>
      <c r="D208" s="80"/>
      <c r="E208" s="80"/>
      <c r="F208" s="79"/>
      <c r="G208" s="79"/>
      <c r="H208" s="79"/>
      <c r="I208" s="79"/>
    </row>
    <row r="209" spans="3:9" x14ac:dyDescent="0.25">
      <c r="C209" s="80"/>
      <c r="D209" s="80"/>
      <c r="E209" s="80"/>
      <c r="F209" s="79"/>
      <c r="G209" s="79"/>
      <c r="H209" s="79"/>
      <c r="I209" s="79"/>
    </row>
    <row r="210" spans="3:9" x14ac:dyDescent="0.25">
      <c r="C210" s="80"/>
      <c r="D210" s="80"/>
      <c r="E210" s="80"/>
      <c r="F210" s="79"/>
      <c r="G210" s="79"/>
      <c r="H210" s="79"/>
      <c r="I210" s="79"/>
    </row>
    <row r="211" spans="3:9" x14ac:dyDescent="0.25">
      <c r="C211" s="80"/>
      <c r="D211" s="80"/>
      <c r="E211" s="80"/>
      <c r="F211" s="79"/>
      <c r="G211" s="79"/>
      <c r="H211" s="79"/>
      <c r="I211" s="79"/>
    </row>
    <row r="212" spans="3:9" x14ac:dyDescent="0.25">
      <c r="C212" s="80"/>
      <c r="D212" s="80"/>
      <c r="E212" s="80"/>
      <c r="F212" s="79"/>
      <c r="G212" s="79"/>
      <c r="H212" s="79"/>
      <c r="I212" s="79"/>
    </row>
    <row r="213" spans="3:9" x14ac:dyDescent="0.25">
      <c r="C213" s="80"/>
      <c r="D213" s="80"/>
      <c r="E213" s="80"/>
      <c r="F213" s="79"/>
      <c r="G213" s="79"/>
      <c r="H213" s="79"/>
      <c r="I213" s="79"/>
    </row>
    <row r="214" spans="3:9" x14ac:dyDescent="0.25">
      <c r="C214" s="80"/>
      <c r="D214" s="80"/>
      <c r="E214" s="80"/>
      <c r="F214" s="79"/>
      <c r="G214" s="79"/>
      <c r="H214" s="79"/>
      <c r="I214" s="79"/>
    </row>
    <row r="215" spans="3:9" x14ac:dyDescent="0.25">
      <c r="C215" s="80"/>
      <c r="D215" s="80"/>
      <c r="E215" s="80"/>
      <c r="F215" s="79"/>
      <c r="G215" s="79"/>
      <c r="H215" s="79"/>
      <c r="I215" s="79"/>
    </row>
    <row r="216" spans="3:9" x14ac:dyDescent="0.25">
      <c r="C216" s="80"/>
      <c r="D216" s="80"/>
      <c r="E216" s="80"/>
      <c r="F216" s="79"/>
      <c r="G216" s="79"/>
      <c r="H216" s="79"/>
      <c r="I216" s="79"/>
    </row>
    <row r="217" spans="3:9" x14ac:dyDescent="0.25">
      <c r="C217" s="80"/>
      <c r="D217" s="80"/>
      <c r="E217" s="80"/>
      <c r="F217" s="79"/>
      <c r="G217" s="79"/>
      <c r="H217" s="79"/>
      <c r="I217" s="79"/>
    </row>
    <row r="218" spans="3:9" x14ac:dyDescent="0.25">
      <c r="C218" s="80"/>
      <c r="D218" s="80"/>
      <c r="E218" s="80"/>
      <c r="F218" s="79"/>
      <c r="G218" s="79"/>
      <c r="H218" s="79"/>
      <c r="I218" s="79"/>
    </row>
    <row r="219" spans="3:9" x14ac:dyDescent="0.25">
      <c r="C219" s="80"/>
      <c r="D219" s="80"/>
      <c r="E219" s="80"/>
      <c r="F219" s="79"/>
      <c r="G219" s="79"/>
      <c r="H219" s="79"/>
      <c r="I219" s="79"/>
    </row>
    <row r="220" spans="3:9" x14ac:dyDescent="0.25">
      <c r="C220" s="80"/>
      <c r="D220" s="80"/>
      <c r="E220" s="80"/>
      <c r="F220" s="79"/>
      <c r="G220" s="79"/>
      <c r="H220" s="79"/>
      <c r="I220" s="79"/>
    </row>
    <row r="221" spans="3:9" x14ac:dyDescent="0.25">
      <c r="C221" s="80"/>
      <c r="D221" s="80"/>
      <c r="E221" s="80"/>
      <c r="F221" s="79"/>
      <c r="G221" s="79"/>
      <c r="H221" s="79"/>
      <c r="I221" s="79"/>
    </row>
    <row r="222" spans="3:9" x14ac:dyDescent="0.25">
      <c r="C222" s="80"/>
      <c r="D222" s="80"/>
      <c r="E222" s="80"/>
      <c r="F222" s="79"/>
      <c r="G222" s="79"/>
      <c r="H222" s="79"/>
      <c r="I222" s="79"/>
    </row>
    <row r="223" spans="3:9" x14ac:dyDescent="0.25">
      <c r="C223" s="80"/>
      <c r="D223" s="80"/>
      <c r="E223" s="80"/>
      <c r="F223" s="79"/>
      <c r="G223" s="79"/>
      <c r="H223" s="79"/>
      <c r="I223" s="79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7"/>
  <sheetViews>
    <sheetView workbookViewId="0">
      <selection activeCell="E37" sqref="E37"/>
    </sheetView>
  </sheetViews>
  <sheetFormatPr defaultRowHeight="15" x14ac:dyDescent="0.25"/>
  <cols>
    <col min="1" max="1" width="14.140625" customWidth="1"/>
    <col min="2" max="2" width="16.7109375" customWidth="1"/>
    <col min="3" max="3" width="9.7109375" customWidth="1"/>
    <col min="4" max="4" width="10.85546875" customWidth="1"/>
    <col min="5" max="5" width="13.5703125" customWidth="1"/>
    <col min="6" max="6" width="12.28515625" customWidth="1"/>
    <col min="7" max="7" width="19.28515625" customWidth="1"/>
    <col min="8" max="8" width="10.140625" customWidth="1"/>
    <col min="9" max="10" width="13.28515625" customWidth="1"/>
    <col min="11" max="11" width="23.5703125" customWidth="1"/>
    <col min="12" max="13" width="10.140625" customWidth="1"/>
    <col min="22" max="22" width="10.28515625" customWidth="1"/>
  </cols>
  <sheetData>
    <row r="1" spans="1:23" ht="30.75" customHeight="1" x14ac:dyDescent="0.25">
      <c r="A1" t="s">
        <v>202</v>
      </c>
      <c r="B1" t="s">
        <v>201</v>
      </c>
      <c r="C1" t="s">
        <v>200</v>
      </c>
      <c r="D1" t="s">
        <v>199</v>
      </c>
      <c r="E1" s="14" t="s">
        <v>171</v>
      </c>
      <c r="F1" s="14" t="s">
        <v>53</v>
      </c>
      <c r="G1" s="14" t="s">
        <v>170</v>
      </c>
      <c r="H1" t="s">
        <v>169</v>
      </c>
      <c r="I1" s="14" t="s">
        <v>168</v>
      </c>
      <c r="J1" s="14" t="s">
        <v>314</v>
      </c>
      <c r="O1" t="s">
        <v>201</v>
      </c>
      <c r="P1" t="s">
        <v>200</v>
      </c>
      <c r="Q1" t="s">
        <v>199</v>
      </c>
      <c r="R1" s="14" t="s">
        <v>171</v>
      </c>
      <c r="S1" s="14" t="s">
        <v>53</v>
      </c>
      <c r="T1" s="14" t="s">
        <v>170</v>
      </c>
      <c r="U1" t="s">
        <v>169</v>
      </c>
      <c r="V1" s="14" t="s">
        <v>168</v>
      </c>
      <c r="W1" t="s">
        <v>313</v>
      </c>
    </row>
    <row r="2" spans="1:23" x14ac:dyDescent="0.25">
      <c r="B2" t="s">
        <v>301</v>
      </c>
      <c r="C2" s="83">
        <v>42370</v>
      </c>
      <c r="D2" s="83">
        <v>42735</v>
      </c>
      <c r="E2" t="s">
        <v>164</v>
      </c>
      <c r="F2" s="115">
        <v>66706.479271899079</v>
      </c>
      <c r="G2" s="115">
        <v>4857.4565088762447</v>
      </c>
      <c r="H2" s="115">
        <v>11194.57203970666</v>
      </c>
      <c r="I2" s="115">
        <v>82758.507820481987</v>
      </c>
      <c r="J2" s="115">
        <f t="shared" ref="J2:J25" si="0">F2*0.076+I2</f>
        <v>87828.20024514632</v>
      </c>
      <c r="K2" s="115">
        <f>I2+J2</f>
        <v>170586.70806562831</v>
      </c>
      <c r="L2" s="115">
        <f>I2+J2</f>
        <v>170586.70806562831</v>
      </c>
      <c r="M2" s="115"/>
      <c r="O2" s="124" t="s">
        <v>301</v>
      </c>
      <c r="P2" s="125">
        <v>42370</v>
      </c>
      <c r="Q2" s="125">
        <v>42735</v>
      </c>
      <c r="R2" s="124" t="s">
        <v>164</v>
      </c>
      <c r="S2" s="123">
        <v>66706.479271899079</v>
      </c>
      <c r="T2" s="122">
        <v>9927.1489335405749</v>
      </c>
      <c r="U2" s="122">
        <v>11194.57203970666</v>
      </c>
      <c r="V2" s="122">
        <v>87828.20024514632</v>
      </c>
      <c r="W2" s="121" t="s">
        <v>312</v>
      </c>
    </row>
    <row r="3" spans="1:23" x14ac:dyDescent="0.25">
      <c r="B3" t="s">
        <v>300</v>
      </c>
      <c r="C3" s="83">
        <v>42370</v>
      </c>
      <c r="D3" s="83">
        <v>42735</v>
      </c>
      <c r="E3" t="s">
        <v>164</v>
      </c>
      <c r="F3" s="115">
        <v>70342.633106696187</v>
      </c>
      <c r="G3" s="115">
        <v>5122.2352725720084</v>
      </c>
      <c r="H3" s="115">
        <v>11804.785417708144</v>
      </c>
      <c r="I3" s="115">
        <v>87269.653796976345</v>
      </c>
      <c r="J3" s="115">
        <f t="shared" si="0"/>
        <v>92615.693913085255</v>
      </c>
      <c r="O3" s="124" t="s">
        <v>300</v>
      </c>
      <c r="P3" s="125">
        <v>42370</v>
      </c>
      <c r="Q3" s="125">
        <v>42735</v>
      </c>
      <c r="R3" s="124" t="s">
        <v>164</v>
      </c>
      <c r="S3" s="123">
        <v>70342.633106696187</v>
      </c>
      <c r="T3" s="122">
        <v>10468.275388680919</v>
      </c>
      <c r="U3" s="122">
        <v>11804.785417708144</v>
      </c>
      <c r="V3" s="122">
        <v>92615.693913085241</v>
      </c>
      <c r="W3" s="121" t="s">
        <v>311</v>
      </c>
    </row>
    <row r="4" spans="1:23" x14ac:dyDescent="0.25">
      <c r="B4" t="s">
        <v>299</v>
      </c>
      <c r="C4" s="83">
        <v>42370</v>
      </c>
      <c r="D4" s="83">
        <v>42735</v>
      </c>
      <c r="E4" t="s">
        <v>164</v>
      </c>
      <c r="F4" s="115">
        <v>73982.687013317249</v>
      </c>
      <c r="G4" s="115">
        <v>5387.2980331069557</v>
      </c>
      <c r="H4" s="115">
        <v>12415.653299372094</v>
      </c>
      <c r="I4" s="115">
        <v>91785.638345796295</v>
      </c>
      <c r="J4" s="115">
        <f t="shared" si="0"/>
        <v>97408.322558808402</v>
      </c>
      <c r="O4" s="124" t="s">
        <v>298</v>
      </c>
      <c r="P4" s="125">
        <v>42370</v>
      </c>
      <c r="Q4" s="125">
        <v>42735</v>
      </c>
      <c r="R4" s="124" t="s">
        <v>164</v>
      </c>
      <c r="S4" s="123">
        <v>77049.705908016243</v>
      </c>
      <c r="T4" s="122">
        <v>11466.410972113696</v>
      </c>
      <c r="U4" s="122">
        <v>12930.355384366005</v>
      </c>
      <c r="V4" s="122">
        <v>101446.47226449594</v>
      </c>
      <c r="W4" s="121" t="s">
        <v>310</v>
      </c>
    </row>
    <row r="5" spans="1:23" x14ac:dyDescent="0.25">
      <c r="B5" t="s">
        <v>298</v>
      </c>
      <c r="C5" s="83">
        <v>42370</v>
      </c>
      <c r="D5" s="83">
        <v>42735</v>
      </c>
      <c r="E5" t="s">
        <v>164</v>
      </c>
      <c r="F5" s="115">
        <v>77049.705908016243</v>
      </c>
      <c r="G5" s="115">
        <v>5610.6333231044609</v>
      </c>
      <c r="H5" s="115">
        <v>12930.355384366005</v>
      </c>
      <c r="I5" s="115">
        <v>95590.694615486704</v>
      </c>
      <c r="J5" s="115">
        <f t="shared" si="0"/>
        <v>101446.47226449594</v>
      </c>
      <c r="O5" s="124" t="s">
        <v>297</v>
      </c>
      <c r="P5" s="125">
        <v>42370</v>
      </c>
      <c r="Q5" s="125">
        <v>42735</v>
      </c>
      <c r="R5" s="124" t="s">
        <v>164</v>
      </c>
      <c r="S5" s="123">
        <v>80005.407214756313</v>
      </c>
      <c r="T5" s="122">
        <v>11906.273597084064</v>
      </c>
      <c r="U5" s="122">
        <v>13426.376334164434</v>
      </c>
      <c r="V5" s="122">
        <v>105338.05714600481</v>
      </c>
      <c r="W5" s="121" t="s">
        <v>309</v>
      </c>
    </row>
    <row r="6" spans="1:23" x14ac:dyDescent="0.25">
      <c r="B6" t="s">
        <v>297</v>
      </c>
      <c r="C6" s="83">
        <v>42370</v>
      </c>
      <c r="D6" s="83">
        <v>42735</v>
      </c>
      <c r="E6" t="s">
        <v>164</v>
      </c>
      <c r="F6" s="115">
        <v>80005.407214756313</v>
      </c>
      <c r="G6" s="115">
        <v>5825.8626487625843</v>
      </c>
      <c r="H6" s="115">
        <v>13426.376334164434</v>
      </c>
      <c r="I6" s="115">
        <v>99257.646197683323</v>
      </c>
      <c r="J6" s="115">
        <f t="shared" si="0"/>
        <v>105338.05714600481</v>
      </c>
      <c r="O6" s="124" t="s">
        <v>296</v>
      </c>
      <c r="P6" s="125">
        <v>42370</v>
      </c>
      <c r="Q6" s="125">
        <v>42735</v>
      </c>
      <c r="R6" s="124" t="s">
        <v>164</v>
      </c>
      <c r="S6" s="123">
        <v>82961.108521496339</v>
      </c>
      <c r="T6" s="122">
        <v>12346.136222054429</v>
      </c>
      <c r="U6" s="122">
        <v>13922.39728396286</v>
      </c>
      <c r="V6" s="122">
        <v>109229.64202751362</v>
      </c>
      <c r="W6" s="121" t="s">
        <v>308</v>
      </c>
    </row>
    <row r="7" spans="1:23" x14ac:dyDescent="0.25">
      <c r="B7" t="s">
        <v>296</v>
      </c>
      <c r="C7" s="83">
        <v>42370</v>
      </c>
      <c r="D7" s="83">
        <v>42735</v>
      </c>
      <c r="E7" t="s">
        <v>164</v>
      </c>
      <c r="F7" s="115">
        <v>82961.108521496339</v>
      </c>
      <c r="G7" s="115">
        <v>6041.0919744207076</v>
      </c>
      <c r="H7" s="115">
        <v>13922.39728396286</v>
      </c>
      <c r="I7" s="115">
        <v>102924.5977798799</v>
      </c>
      <c r="J7" s="115">
        <f t="shared" si="0"/>
        <v>109229.64202751362</v>
      </c>
      <c r="O7" s="124" t="s">
        <v>295</v>
      </c>
      <c r="P7" s="125">
        <v>42370</v>
      </c>
      <c r="Q7" s="125">
        <v>42735</v>
      </c>
      <c r="R7" s="124" t="s">
        <v>164</v>
      </c>
      <c r="S7" s="123">
        <v>85914.950001066667</v>
      </c>
      <c r="T7" s="122">
        <v>12785.722070593092</v>
      </c>
      <c r="U7" s="122">
        <v>14418.10612061336</v>
      </c>
      <c r="V7" s="122">
        <v>113118.77819227312</v>
      </c>
      <c r="W7" s="121" t="s">
        <v>307</v>
      </c>
    </row>
    <row r="8" spans="1:23" x14ac:dyDescent="0.25">
      <c r="B8" t="s">
        <v>295</v>
      </c>
      <c r="C8" s="83">
        <v>42370</v>
      </c>
      <c r="D8" s="83">
        <v>42735</v>
      </c>
      <c r="E8" t="s">
        <v>164</v>
      </c>
      <c r="F8" s="115">
        <v>85914.950001066667</v>
      </c>
      <c r="G8" s="115">
        <v>6256.1858705120267</v>
      </c>
      <c r="H8" s="115">
        <v>14418.10612061336</v>
      </c>
      <c r="I8" s="115">
        <v>106589.24199219205</v>
      </c>
      <c r="J8" s="115">
        <f t="shared" si="0"/>
        <v>113118.77819227312</v>
      </c>
      <c r="O8" s="124" t="s">
        <v>294</v>
      </c>
      <c r="P8" s="125">
        <v>42370</v>
      </c>
      <c r="Q8" s="125">
        <v>42735</v>
      </c>
      <c r="R8" s="124" t="s">
        <v>164</v>
      </c>
      <c r="S8" s="123">
        <v>86394.860509933569</v>
      </c>
      <c r="T8" s="122">
        <v>12857.141566094782</v>
      </c>
      <c r="U8" s="122">
        <v>14498.643915783521</v>
      </c>
      <c r="V8" s="122">
        <v>113750.64599181188</v>
      </c>
      <c r="W8" s="121" t="s">
        <v>306</v>
      </c>
    </row>
    <row r="9" spans="1:23" x14ac:dyDescent="0.25">
      <c r="B9" t="s">
        <v>294</v>
      </c>
      <c r="C9" s="83">
        <v>42370</v>
      </c>
      <c r="D9" s="83">
        <v>42735</v>
      </c>
      <c r="E9" t="s">
        <v>164</v>
      </c>
      <c r="F9" s="115">
        <v>86394.860509933569</v>
      </c>
      <c r="G9" s="115">
        <v>6291.1321673398315</v>
      </c>
      <c r="H9" s="115">
        <v>14498.643915783521</v>
      </c>
      <c r="I9" s="115">
        <v>107184.63659305693</v>
      </c>
      <c r="J9" s="115">
        <f t="shared" si="0"/>
        <v>113750.64599181188</v>
      </c>
      <c r="O9" s="124" t="s">
        <v>293</v>
      </c>
      <c r="P9" s="125">
        <v>42370</v>
      </c>
      <c r="Q9" s="125">
        <v>42735</v>
      </c>
      <c r="R9" s="124" t="s">
        <v>164</v>
      </c>
      <c r="S9" s="123">
        <v>93800.761851443385</v>
      </c>
      <c r="T9" s="122">
        <v>13959.275667710408</v>
      </c>
      <c r="U9" s="122">
        <v>15741.490142887837</v>
      </c>
      <c r="V9" s="122">
        <v>123501.52766204163</v>
      </c>
      <c r="W9" s="121" t="s">
        <v>305</v>
      </c>
    </row>
    <row r="10" spans="1:23" x14ac:dyDescent="0.25">
      <c r="B10" t="s">
        <v>293</v>
      </c>
      <c r="C10" s="83">
        <v>42370</v>
      </c>
      <c r="D10" s="83">
        <v>42735</v>
      </c>
      <c r="E10" t="s">
        <v>164</v>
      </c>
      <c r="F10" s="115">
        <v>93800.761851443385</v>
      </c>
      <c r="G10" s="115">
        <v>6830.417767000712</v>
      </c>
      <c r="H10" s="115">
        <v>15741.490142887837</v>
      </c>
      <c r="I10" s="115">
        <v>116372.66976133193</v>
      </c>
      <c r="J10" s="115">
        <f t="shared" si="0"/>
        <v>123501.52766204163</v>
      </c>
      <c r="O10" s="124" t="s">
        <v>292</v>
      </c>
      <c r="P10" s="125">
        <v>42370</v>
      </c>
      <c r="Q10" s="125">
        <v>42735</v>
      </c>
      <c r="R10" s="124" t="s">
        <v>164</v>
      </c>
      <c r="S10" s="123">
        <v>97209.658651982754</v>
      </c>
      <c r="T10" s="122">
        <v>14466.582103417923</v>
      </c>
      <c r="U10" s="122">
        <v>16313.565617805594</v>
      </c>
      <c r="V10" s="122">
        <v>127989.80637320627</v>
      </c>
      <c r="W10" s="121" t="s">
        <v>304</v>
      </c>
    </row>
    <row r="11" spans="1:23" x14ac:dyDescent="0.25">
      <c r="B11" t="s">
        <v>292</v>
      </c>
      <c r="C11" s="83">
        <v>42370</v>
      </c>
      <c r="D11" s="83">
        <v>42735</v>
      </c>
      <c r="E11" t="s">
        <v>164</v>
      </c>
      <c r="F11" s="115">
        <v>97209.658651982754</v>
      </c>
      <c r="G11" s="115">
        <v>7078.6480458672331</v>
      </c>
      <c r="H11" s="115">
        <v>16313.565617805594</v>
      </c>
      <c r="I11" s="115">
        <v>120601.87231565558</v>
      </c>
      <c r="J11" s="115">
        <f t="shared" si="0"/>
        <v>127989.80637320627</v>
      </c>
      <c r="O11" s="124" t="s">
        <v>291</v>
      </c>
      <c r="P11" s="125">
        <v>42370</v>
      </c>
      <c r="Q11" s="125">
        <v>42735</v>
      </c>
      <c r="R11" s="124" t="s">
        <v>164</v>
      </c>
      <c r="S11" s="123">
        <v>100623.95451654673</v>
      </c>
      <c r="T11" s="122">
        <v>14974.692018986148</v>
      </c>
      <c r="U11" s="122">
        <v>16886.547154800537</v>
      </c>
      <c r="V11" s="122">
        <v>132485.1936903334</v>
      </c>
      <c r="W11" s="121" t="s">
        <v>303</v>
      </c>
    </row>
    <row r="12" spans="1:23" x14ac:dyDescent="0.25">
      <c r="B12" t="s">
        <v>291</v>
      </c>
      <c r="C12" s="83">
        <v>42370</v>
      </c>
      <c r="D12" s="83">
        <v>42735</v>
      </c>
      <c r="E12" t="s">
        <v>164</v>
      </c>
      <c r="F12" s="115">
        <v>100623.95451654673</v>
      </c>
      <c r="G12" s="115">
        <v>7327.2714757285967</v>
      </c>
      <c r="H12" s="115">
        <v>16886.547154800537</v>
      </c>
      <c r="I12" s="115">
        <v>124837.77314707586</v>
      </c>
      <c r="J12" s="115">
        <f t="shared" si="0"/>
        <v>132485.1936903334</v>
      </c>
      <c r="O12" s="119" t="s">
        <v>290</v>
      </c>
      <c r="P12" s="120">
        <v>42370</v>
      </c>
      <c r="Q12" s="120">
        <v>42735</v>
      </c>
      <c r="R12" s="119" t="s">
        <v>164</v>
      </c>
      <c r="S12" s="118">
        <v>104030.03375016934</v>
      </c>
      <c r="T12" s="117">
        <v>15481.579149002249</v>
      </c>
      <c r="U12" s="117">
        <v>17458.149790255466</v>
      </c>
      <c r="V12" s="117">
        <v>136969.76268942707</v>
      </c>
      <c r="W12" s="116" t="s">
        <v>302</v>
      </c>
    </row>
    <row r="13" spans="1:23" x14ac:dyDescent="0.25">
      <c r="B13" t="s">
        <v>290</v>
      </c>
      <c r="C13" s="83">
        <v>42370</v>
      </c>
      <c r="D13" s="83">
        <v>42735</v>
      </c>
      <c r="E13" t="s">
        <v>164</v>
      </c>
      <c r="F13" s="115">
        <v>104030.03375016934</v>
      </c>
      <c r="G13" s="115">
        <v>7575.2965839893786</v>
      </c>
      <c r="H13" s="115">
        <v>17458.149790255466</v>
      </c>
      <c r="I13" s="115">
        <v>129063.48012441419</v>
      </c>
      <c r="J13" s="115">
        <f t="shared" si="0"/>
        <v>136969.76268942707</v>
      </c>
    </row>
    <row r="14" spans="1:23" x14ac:dyDescent="0.25">
      <c r="B14" t="s">
        <v>289</v>
      </c>
      <c r="C14" s="83">
        <v>42370</v>
      </c>
      <c r="D14" s="83">
        <v>42735</v>
      </c>
      <c r="E14" t="s">
        <v>164</v>
      </c>
      <c r="F14" s="115">
        <v>107444.53785838008</v>
      </c>
      <c r="G14" s="115">
        <v>7823.9351778118516</v>
      </c>
      <c r="H14" s="115">
        <v>18031.166274357958</v>
      </c>
      <c r="I14" s="115">
        <v>133299.63931054989</v>
      </c>
      <c r="J14" s="115">
        <f t="shared" si="0"/>
        <v>141465.42418778676</v>
      </c>
    </row>
    <row r="15" spans="1:23" x14ac:dyDescent="0.25">
      <c r="B15" t="s">
        <v>288</v>
      </c>
      <c r="C15" s="83">
        <v>42370</v>
      </c>
      <c r="D15" s="83">
        <v>42735</v>
      </c>
      <c r="E15" t="s">
        <v>164</v>
      </c>
      <c r="F15" s="115">
        <v>107999.68245829864</v>
      </c>
      <c r="G15" s="115">
        <v>7864.3598978641639</v>
      </c>
      <c r="H15" s="115">
        <v>18124.329731402533</v>
      </c>
      <c r="I15" s="115">
        <v>133988.37208756534</v>
      </c>
      <c r="J15" s="115">
        <f t="shared" si="0"/>
        <v>142196.34795439604</v>
      </c>
    </row>
    <row r="16" spans="1:23" x14ac:dyDescent="0.25">
      <c r="B16" t="s">
        <v>287</v>
      </c>
      <c r="C16" s="83">
        <v>42370</v>
      </c>
      <c r="D16" s="83">
        <v>42735</v>
      </c>
      <c r="E16" t="s">
        <v>164</v>
      </c>
      <c r="F16" s="115">
        <v>114266.23153128278</v>
      </c>
      <c r="G16" s="115">
        <v>8320.6797323840801</v>
      </c>
      <c r="H16" s="115">
        <v>19175.971727855947</v>
      </c>
      <c r="I16" s="115">
        <v>141762.88299152281</v>
      </c>
      <c r="J16" s="115">
        <f t="shared" si="0"/>
        <v>150447.11658790029</v>
      </c>
    </row>
    <row r="17" spans="2:12" x14ac:dyDescent="0.25">
      <c r="B17" t="s">
        <v>286</v>
      </c>
      <c r="C17" s="83">
        <v>42370</v>
      </c>
      <c r="D17" s="83">
        <v>42735</v>
      </c>
      <c r="E17" t="s">
        <v>164</v>
      </c>
      <c r="F17" s="115">
        <v>117672.67159987446</v>
      </c>
      <c r="G17" s="115">
        <v>8568.731116056013</v>
      </c>
      <c r="H17" s="115">
        <v>19747.634918044088</v>
      </c>
      <c r="I17" s="115">
        <v>145989.03763397457</v>
      </c>
      <c r="J17" s="115">
        <f t="shared" si="0"/>
        <v>154932.16067556504</v>
      </c>
    </row>
    <row r="18" spans="2:12" x14ac:dyDescent="0.25">
      <c r="B18" t="s">
        <v>285</v>
      </c>
      <c r="C18" s="83">
        <v>42370</v>
      </c>
      <c r="D18" s="83">
        <v>42735</v>
      </c>
      <c r="E18" t="s">
        <v>164</v>
      </c>
      <c r="F18" s="115">
        <v>121083.4560537457</v>
      </c>
      <c r="G18" s="115">
        <v>8817.0988507448674</v>
      </c>
      <c r="H18" s="115">
        <v>20320.027175850708</v>
      </c>
      <c r="I18" s="115">
        <v>150220.58208034126</v>
      </c>
      <c r="J18" s="115">
        <f t="shared" si="0"/>
        <v>159422.92474042595</v>
      </c>
    </row>
    <row r="19" spans="2:12" x14ac:dyDescent="0.25">
      <c r="B19" t="s">
        <v>284</v>
      </c>
      <c r="C19" s="83">
        <v>42370</v>
      </c>
      <c r="D19" s="83">
        <v>42735</v>
      </c>
      <c r="E19" t="s">
        <v>164</v>
      </c>
      <c r="F19" s="115">
        <v>124490.85386208442</v>
      </c>
      <c r="G19" s="115">
        <v>9065.2199754557332</v>
      </c>
      <c r="H19" s="115">
        <v>20891.851092353751</v>
      </c>
      <c r="I19" s="115">
        <v>154447.9249298939</v>
      </c>
      <c r="J19" s="115">
        <f t="shared" si="0"/>
        <v>163909.22982341232</v>
      </c>
    </row>
    <row r="20" spans="2:12" x14ac:dyDescent="0.25">
      <c r="B20" t="s">
        <v>283</v>
      </c>
      <c r="C20" s="83">
        <v>42370</v>
      </c>
      <c r="D20" s="83">
        <v>42735</v>
      </c>
      <c r="E20" t="s">
        <v>164</v>
      </c>
      <c r="F20" s="115">
        <v>127903.8589780945</v>
      </c>
      <c r="G20" s="115">
        <v>9313.7494151225474</v>
      </c>
      <c r="H20" s="115">
        <v>21464.616018041528</v>
      </c>
      <c r="I20" s="115">
        <v>158682.22441125859</v>
      </c>
      <c r="J20" s="115">
        <f t="shared" si="0"/>
        <v>168402.91769359377</v>
      </c>
    </row>
    <row r="21" spans="2:12" x14ac:dyDescent="0.25">
      <c r="B21" t="s">
        <v>282</v>
      </c>
      <c r="C21" s="83">
        <v>42370</v>
      </c>
      <c r="D21" s="83">
        <v>42735</v>
      </c>
      <c r="E21" t="s">
        <v>164</v>
      </c>
      <c r="F21" s="115">
        <v>128458.64274304401</v>
      </c>
      <c r="G21" s="115">
        <v>9354.1478597637124</v>
      </c>
      <c r="H21" s="115">
        <v>21557.718920352894</v>
      </c>
      <c r="I21" s="115">
        <v>159370.50952316061</v>
      </c>
      <c r="J21" s="115">
        <f t="shared" si="0"/>
        <v>169133.36637163194</v>
      </c>
    </row>
    <row r="22" spans="2:12" x14ac:dyDescent="0.25">
      <c r="B22" t="s">
        <v>281</v>
      </c>
      <c r="C22" s="83">
        <v>42370</v>
      </c>
      <c r="D22" s="83">
        <v>42735</v>
      </c>
      <c r="E22" t="s">
        <v>164</v>
      </c>
      <c r="F22" s="115">
        <v>137949.49370372455</v>
      </c>
      <c r="G22" s="115">
        <v>10045.256074092047</v>
      </c>
      <c r="H22" s="115">
        <v>23150.457975945879</v>
      </c>
      <c r="I22" s="115">
        <v>171145.20775376249</v>
      </c>
      <c r="J22" s="115">
        <f t="shared" si="0"/>
        <v>181629.36927524555</v>
      </c>
    </row>
    <row r="23" spans="2:12" x14ac:dyDescent="0.25">
      <c r="B23" t="s">
        <v>280</v>
      </c>
      <c r="C23" s="83">
        <v>42370</v>
      </c>
      <c r="D23" s="83">
        <v>42735</v>
      </c>
      <c r="E23" t="s">
        <v>164</v>
      </c>
      <c r="F23" s="115">
        <v>142494.25918825905</v>
      </c>
      <c r="G23" s="115">
        <v>10376.198449182555</v>
      </c>
      <c r="H23" s="115">
        <v>23913.153072067165</v>
      </c>
      <c r="I23" s="115">
        <v>176783.61070950876</v>
      </c>
      <c r="J23" s="115">
        <f t="shared" si="0"/>
        <v>187613.17440781646</v>
      </c>
    </row>
    <row r="24" spans="2:12" x14ac:dyDescent="0.25">
      <c r="B24" t="s">
        <v>279</v>
      </c>
      <c r="C24" s="83">
        <v>42370</v>
      </c>
      <c r="D24" s="83">
        <v>42735</v>
      </c>
      <c r="E24" t="s">
        <v>164</v>
      </c>
      <c r="F24" s="115">
        <v>147042.56390964851</v>
      </c>
      <c r="G24" s="115">
        <v>10707.398545701106</v>
      </c>
      <c r="H24" s="115">
        <v>24676.442117117716</v>
      </c>
      <c r="I24" s="115">
        <v>182426.40457246732</v>
      </c>
      <c r="J24" s="115">
        <f t="shared" si="0"/>
        <v>193601.63942960062</v>
      </c>
    </row>
    <row r="25" spans="2:12" x14ac:dyDescent="0.25">
      <c r="B25" t="s">
        <v>278</v>
      </c>
      <c r="C25" s="83">
        <v>42370</v>
      </c>
      <c r="D25" s="83">
        <v>42735</v>
      </c>
      <c r="E25" t="s">
        <v>164</v>
      </c>
      <c r="F25" s="115">
        <v>172794.16234414472</v>
      </c>
      <c r="G25" s="115">
        <v>12582.587744635572</v>
      </c>
      <c r="H25" s="115">
        <v>28998.033167329319</v>
      </c>
      <c r="I25" s="115">
        <v>214374.7832561096</v>
      </c>
      <c r="J25" s="115">
        <f t="shared" si="0"/>
        <v>227507.13959426459</v>
      </c>
    </row>
    <row r="26" spans="2:12" x14ac:dyDescent="0.25">
      <c r="B26" t="s">
        <v>301</v>
      </c>
      <c r="C26" s="83">
        <v>42370</v>
      </c>
      <c r="D26" s="83">
        <v>42735</v>
      </c>
      <c r="E26" t="s">
        <v>162</v>
      </c>
      <c r="F26" s="115">
        <v>34.208450908666201</v>
      </c>
      <c r="G26" s="115">
        <v>2.352970718843622</v>
      </c>
      <c r="H26" s="115">
        <v>3.2080975679400678</v>
      </c>
      <c r="I26" s="115">
        <v>39.769519195449888</v>
      </c>
      <c r="J26" s="115"/>
      <c r="L26" s="115">
        <f>I26*1.03</f>
        <v>40.962604771313387</v>
      </c>
    </row>
    <row r="27" spans="2:12" x14ac:dyDescent="0.25">
      <c r="B27" t="s">
        <v>300</v>
      </c>
      <c r="C27" s="83">
        <v>42370</v>
      </c>
      <c r="D27" s="83">
        <v>42735</v>
      </c>
      <c r="E27" t="s">
        <v>162</v>
      </c>
      <c r="F27" s="115">
        <v>36.073145182921124</v>
      </c>
      <c r="G27" s="115">
        <v>2.4812305759950508</v>
      </c>
      <c r="H27" s="115">
        <v>3.3829701800370247</v>
      </c>
      <c r="I27" s="115">
        <v>41.9373459389532</v>
      </c>
      <c r="J27" s="115"/>
    </row>
    <row r="28" spans="2:12" x14ac:dyDescent="0.25">
      <c r="B28" t="s">
        <v>299</v>
      </c>
      <c r="C28" s="83">
        <v>42370</v>
      </c>
      <c r="D28" s="83">
        <v>42735</v>
      </c>
      <c r="E28" t="s">
        <v>162</v>
      </c>
      <c r="F28" s="115">
        <v>37.939839494008837</v>
      </c>
      <c r="G28" s="115">
        <v>2.6096280023137219</v>
      </c>
      <c r="H28" s="115">
        <v>3.5580303572861194</v>
      </c>
      <c r="I28" s="115">
        <v>44.107497853608677</v>
      </c>
      <c r="J28" s="115"/>
    </row>
    <row r="29" spans="2:12" x14ac:dyDescent="0.25">
      <c r="B29" t="s">
        <v>298</v>
      </c>
      <c r="C29" s="83">
        <v>42370</v>
      </c>
      <c r="D29" s="83">
        <v>42735</v>
      </c>
      <c r="E29" t="s">
        <v>162</v>
      </c>
      <c r="F29" s="115">
        <v>39.512669696418598</v>
      </c>
      <c r="G29" s="115">
        <v>2.7178124805253767</v>
      </c>
      <c r="H29" s="115">
        <v>3.7055317089435005</v>
      </c>
      <c r="I29" s="115">
        <v>45.936013885887476</v>
      </c>
      <c r="J29" s="115"/>
    </row>
    <row r="30" spans="2:12" x14ac:dyDescent="0.25">
      <c r="B30" t="s">
        <v>297</v>
      </c>
      <c r="C30" s="83">
        <v>42370</v>
      </c>
      <c r="D30" s="83">
        <v>42735</v>
      </c>
      <c r="E30" t="s">
        <v>162</v>
      </c>
      <c r="F30" s="115">
        <v>41.028413956285284</v>
      </c>
      <c r="G30" s="115">
        <v>2.8220703982616659</v>
      </c>
      <c r="H30" s="115">
        <v>3.8476794924453128</v>
      </c>
      <c r="I30" s="115">
        <v>47.698163846992266</v>
      </c>
      <c r="J30" s="115"/>
    </row>
    <row r="31" spans="2:12" x14ac:dyDescent="0.25">
      <c r="B31" t="s">
        <v>296</v>
      </c>
      <c r="C31" s="83">
        <v>42370</v>
      </c>
      <c r="D31" s="83">
        <v>42735</v>
      </c>
      <c r="E31" t="s">
        <v>162</v>
      </c>
      <c r="F31" s="115">
        <v>42.544158216151978</v>
      </c>
      <c r="G31" s="115">
        <v>2.9263283159979556</v>
      </c>
      <c r="H31" s="115">
        <v>3.9898272759471247</v>
      </c>
      <c r="I31" s="115">
        <v>49.460313808097055</v>
      </c>
      <c r="J31" s="115"/>
    </row>
    <row r="32" spans="2:12" x14ac:dyDescent="0.25">
      <c r="B32" t="s">
        <v>295</v>
      </c>
      <c r="C32" s="83">
        <v>42370</v>
      </c>
      <c r="D32" s="83">
        <v>42735</v>
      </c>
      <c r="E32" t="s">
        <v>162</v>
      </c>
      <c r="F32" s="115">
        <v>44.058948718495728</v>
      </c>
      <c r="G32" s="115">
        <v>3.0305206311283182</v>
      </c>
      <c r="H32" s="115">
        <v>4.1318856152587307</v>
      </c>
      <c r="I32" s="115">
        <v>51.221354964882778</v>
      </c>
      <c r="J32" s="115"/>
    </row>
    <row r="33" spans="2:10" x14ac:dyDescent="0.25">
      <c r="B33" t="s">
        <v>294</v>
      </c>
      <c r="C33" s="83">
        <v>42370</v>
      </c>
      <c r="D33" s="83">
        <v>42735</v>
      </c>
      <c r="E33" t="s">
        <v>162</v>
      </c>
      <c r="F33" s="115">
        <v>44.305056671760795</v>
      </c>
      <c r="G33" s="115">
        <v>3.047448752464573</v>
      </c>
      <c r="H33" s="115">
        <v>4.1549658280525916</v>
      </c>
      <c r="I33" s="115">
        <v>51.507471252277959</v>
      </c>
      <c r="J33" s="115"/>
    </row>
    <row r="34" spans="2:10" x14ac:dyDescent="0.25">
      <c r="B34" t="s">
        <v>293</v>
      </c>
      <c r="C34" s="83">
        <v>42370</v>
      </c>
      <c r="D34" s="83">
        <v>42735</v>
      </c>
      <c r="E34" t="s">
        <v>162</v>
      </c>
      <c r="F34" s="115">
        <v>48.102954795612</v>
      </c>
      <c r="G34" s="115">
        <v>3.3086807825974871</v>
      </c>
      <c r="H34" s="115">
        <v>4.5111359383841458</v>
      </c>
      <c r="I34" s="115">
        <v>55.922771516593635</v>
      </c>
      <c r="J34" s="115"/>
    </row>
    <row r="35" spans="2:10" x14ac:dyDescent="0.25">
      <c r="B35" t="s">
        <v>292</v>
      </c>
      <c r="C35" s="83">
        <v>42370</v>
      </c>
      <c r="D35" s="83">
        <v>42735</v>
      </c>
      <c r="E35" t="s">
        <v>162</v>
      </c>
      <c r="F35" s="115">
        <v>49.851107001016793</v>
      </c>
      <c r="G35" s="115">
        <v>3.428924489697283</v>
      </c>
      <c r="H35" s="115">
        <v>4.6750791363243787</v>
      </c>
      <c r="I35" s="115">
        <v>57.955110627038451</v>
      </c>
      <c r="J35" s="115"/>
    </row>
    <row r="36" spans="2:10" x14ac:dyDescent="0.25">
      <c r="B36" t="s">
        <v>291</v>
      </c>
      <c r="C36" s="83">
        <v>42370</v>
      </c>
      <c r="D36" s="83">
        <v>42735</v>
      </c>
      <c r="E36" t="s">
        <v>162</v>
      </c>
      <c r="F36" s="115">
        <v>51.602027957203461</v>
      </c>
      <c r="G36" s="115">
        <v>3.5493586406594706</v>
      </c>
      <c r="H36" s="115">
        <v>4.839281990063502</v>
      </c>
      <c r="I36" s="115">
        <v>59.990668587926436</v>
      </c>
      <c r="J36" s="115"/>
    </row>
    <row r="37" spans="2:10" x14ac:dyDescent="0.25">
      <c r="B37" t="s">
        <v>290</v>
      </c>
      <c r="C37" s="83">
        <v>42370</v>
      </c>
      <c r="D37" s="83">
        <v>42735</v>
      </c>
      <c r="E37" t="s">
        <v>162</v>
      </c>
      <c r="F37" s="115">
        <v>53.3487352564971</v>
      </c>
      <c r="G37" s="115">
        <v>3.6695029623243602</v>
      </c>
      <c r="H37" s="115">
        <v>5.0030896834819591</v>
      </c>
      <c r="I37" s="115">
        <v>62.021327902303419</v>
      </c>
      <c r="J37" s="115"/>
    </row>
    <row r="38" spans="2:10" x14ac:dyDescent="0.25">
      <c r="B38" t="s">
        <v>289</v>
      </c>
      <c r="C38" s="83">
        <v>42370</v>
      </c>
      <c r="D38" s="83">
        <v>42735</v>
      </c>
      <c r="E38" t="s">
        <v>162</v>
      </c>
      <c r="F38" s="115">
        <v>55.099763004297472</v>
      </c>
      <c r="G38" s="115">
        <v>3.7899444587679532</v>
      </c>
      <c r="H38" s="115">
        <v>5.1673025522292786</v>
      </c>
      <c r="I38" s="115">
        <v>64.057010015294708</v>
      </c>
      <c r="J38" s="115"/>
    </row>
    <row r="39" spans="2:10" x14ac:dyDescent="0.25">
      <c r="B39" t="s">
        <v>288</v>
      </c>
      <c r="C39" s="83">
        <v>42370</v>
      </c>
      <c r="D39" s="83">
        <v>42735</v>
      </c>
      <c r="E39" t="s">
        <v>162</v>
      </c>
      <c r="F39" s="115">
        <v>55.384452542717256</v>
      </c>
      <c r="G39" s="115">
        <v>3.8095263495016596</v>
      </c>
      <c r="H39" s="115">
        <v>5.194000978833305</v>
      </c>
      <c r="I39" s="115">
        <v>64.387979871052224</v>
      </c>
      <c r="J39" s="115"/>
    </row>
    <row r="40" spans="2:10" x14ac:dyDescent="0.25">
      <c r="B40" t="s">
        <v>287</v>
      </c>
      <c r="C40" s="83">
        <v>42370</v>
      </c>
      <c r="D40" s="83">
        <v>42735</v>
      </c>
      <c r="E40" t="s">
        <v>162</v>
      </c>
      <c r="F40" s="115">
        <v>58.598067451939883</v>
      </c>
      <c r="G40" s="115">
        <v>4.0305694421347891</v>
      </c>
      <c r="H40" s="115">
        <v>5.4953765132618848</v>
      </c>
      <c r="I40" s="115">
        <v>68.124013407336562</v>
      </c>
      <c r="J40" s="115"/>
    </row>
    <row r="41" spans="2:10" x14ac:dyDescent="0.25">
      <c r="B41" t="s">
        <v>286</v>
      </c>
      <c r="C41" s="83">
        <v>42370</v>
      </c>
      <c r="D41" s="83">
        <v>42735</v>
      </c>
      <c r="E41" t="s">
        <v>162</v>
      </c>
      <c r="F41" s="115">
        <v>60.344959794807416</v>
      </c>
      <c r="G41" s="115">
        <v>4.1507264917104578</v>
      </c>
      <c r="H41" s="115">
        <v>5.6592015602237948</v>
      </c>
      <c r="I41" s="115">
        <v>70.154887846741673</v>
      </c>
      <c r="J41" s="115"/>
    </row>
    <row r="42" spans="2:10" x14ac:dyDescent="0.25">
      <c r="B42" t="s">
        <v>285</v>
      </c>
      <c r="C42" s="83">
        <v>42370</v>
      </c>
      <c r="D42" s="83">
        <v>42735</v>
      </c>
      <c r="E42" t="s">
        <v>162</v>
      </c>
      <c r="F42" s="115">
        <v>62.094080027561894</v>
      </c>
      <c r="G42" s="115">
        <v>4.2710367829421951</v>
      </c>
      <c r="H42" s="115">
        <v>5.8232355405907006</v>
      </c>
      <c r="I42" s="115">
        <v>72.188352351094792</v>
      </c>
      <c r="J42" s="115"/>
    </row>
    <row r="43" spans="2:10" x14ac:dyDescent="0.25">
      <c r="B43" t="s">
        <v>284</v>
      </c>
      <c r="C43" s="83">
        <v>42370</v>
      </c>
      <c r="D43" s="83">
        <v>42735</v>
      </c>
      <c r="E43" t="s">
        <v>162</v>
      </c>
      <c r="F43" s="115">
        <v>63.841463519017651</v>
      </c>
      <c r="G43" s="115">
        <v>4.3912276153468435</v>
      </c>
      <c r="H43" s="115">
        <v>5.9871066478841826</v>
      </c>
      <c r="I43" s="115">
        <v>74.219797782248676</v>
      </c>
      <c r="J43" s="115"/>
    </row>
    <row r="44" spans="2:10" x14ac:dyDescent="0.25">
      <c r="B44" t="s">
        <v>283</v>
      </c>
      <c r="C44" s="83">
        <v>42370</v>
      </c>
      <c r="D44" s="83">
        <v>42735</v>
      </c>
      <c r="E44" t="s">
        <v>162</v>
      </c>
      <c r="F44" s="115">
        <v>65.591722552868973</v>
      </c>
      <c r="G44" s="115">
        <v>4.5116162370952893</v>
      </c>
      <c r="H44" s="115">
        <v>6.1512474259847503</v>
      </c>
      <c r="I44" s="115">
        <v>76.254586215949018</v>
      </c>
      <c r="J44" s="115"/>
    </row>
    <row r="45" spans="2:10" x14ac:dyDescent="0.25">
      <c r="B45" t="s">
        <v>282</v>
      </c>
      <c r="C45" s="83">
        <v>42370</v>
      </c>
      <c r="D45" s="83">
        <v>42735</v>
      </c>
      <c r="E45" t="s">
        <v>162</v>
      </c>
      <c r="F45" s="115">
        <v>65.876227047714892</v>
      </c>
      <c r="G45" s="115">
        <v>4.5311853999182166</v>
      </c>
      <c r="H45" s="115">
        <v>6.1779284990453247</v>
      </c>
      <c r="I45" s="115">
        <v>76.585340946678429</v>
      </c>
      <c r="J45" s="115"/>
    </row>
    <row r="46" spans="2:10" x14ac:dyDescent="0.25">
      <c r="B46" t="s">
        <v>281</v>
      </c>
      <c r="C46" s="83">
        <v>42370</v>
      </c>
      <c r="D46" s="83">
        <v>42735</v>
      </c>
      <c r="E46" t="s">
        <v>162</v>
      </c>
      <c r="F46" s="115">
        <v>70.743330104474126</v>
      </c>
      <c r="G46" s="115">
        <v>4.8659608917615946</v>
      </c>
      <c r="H46" s="115">
        <v>6.6343695557009292</v>
      </c>
      <c r="I46" s="115">
        <v>82.243660551936642</v>
      </c>
      <c r="J46" s="115"/>
    </row>
    <row r="47" spans="2:10" x14ac:dyDescent="0.25">
      <c r="B47" t="s">
        <v>280</v>
      </c>
      <c r="C47" s="83">
        <v>42370</v>
      </c>
      <c r="D47" s="83">
        <v>42735</v>
      </c>
      <c r="E47" t="s">
        <v>162</v>
      </c>
      <c r="F47" s="115">
        <v>73.07397907090207</v>
      </c>
      <c r="G47" s="115">
        <v>5.0262706581567418</v>
      </c>
      <c r="H47" s="115">
        <v>6.8529397944083881</v>
      </c>
      <c r="I47" s="115">
        <v>84.953189523467202</v>
      </c>
      <c r="J47" s="115"/>
    </row>
    <row r="48" spans="2:10" x14ac:dyDescent="0.25">
      <c r="B48" t="s">
        <v>279</v>
      </c>
      <c r="C48" s="83">
        <v>42370</v>
      </c>
      <c r="D48" s="83">
        <v>42735</v>
      </c>
      <c r="E48" t="s">
        <v>162</v>
      </c>
      <c r="F48" s="115">
        <v>75.406443030588974</v>
      </c>
      <c r="G48" s="115">
        <v>5.1867052658083548</v>
      </c>
      <c r="H48" s="115">
        <v>7.0716802447245337</v>
      </c>
      <c r="I48" s="115">
        <v>87.664828541121864</v>
      </c>
      <c r="J48" s="115"/>
    </row>
    <row r="49" spans="2:10" x14ac:dyDescent="0.25">
      <c r="B49" t="s">
        <v>277</v>
      </c>
      <c r="C49" s="83">
        <v>42370</v>
      </c>
      <c r="D49" s="83">
        <v>42735</v>
      </c>
      <c r="E49" t="s">
        <v>162</v>
      </c>
      <c r="F49" s="115">
        <v>75.785504791689348</v>
      </c>
      <c r="G49" s="115">
        <v>5.2127783910394223</v>
      </c>
      <c r="H49" s="115">
        <v>7.1072289784901166</v>
      </c>
      <c r="I49" s="115">
        <v>88.105512161218883</v>
      </c>
      <c r="J49" s="115"/>
    </row>
    <row r="50" spans="2:10" x14ac:dyDescent="0.25">
      <c r="B50" t="s">
        <v>278</v>
      </c>
      <c r="C50" s="83">
        <v>42370</v>
      </c>
      <c r="D50" s="83">
        <v>42735</v>
      </c>
      <c r="E50" t="s">
        <v>162</v>
      </c>
      <c r="F50" s="115">
        <v>88.612390945715234</v>
      </c>
      <c r="G50" s="115">
        <v>6.0950541659625603</v>
      </c>
      <c r="H50" s="115">
        <v>8.3101452515725054</v>
      </c>
      <c r="I50" s="115">
        <v>103.01759036325029</v>
      </c>
      <c r="J50" s="115"/>
    </row>
    <row r="51" spans="2:10" x14ac:dyDescent="0.25">
      <c r="B51" t="s">
        <v>277</v>
      </c>
      <c r="C51" s="83">
        <v>42370</v>
      </c>
      <c r="D51" s="83">
        <v>42735</v>
      </c>
      <c r="E51" t="s">
        <v>164</v>
      </c>
      <c r="F51" s="115">
        <v>147781.73434379423</v>
      </c>
      <c r="G51" s="115">
        <v>10761.223725439271</v>
      </c>
      <c r="H51" s="115">
        <v>24800.488488099723</v>
      </c>
      <c r="I51" s="115">
        <v>183343.44655733323</v>
      </c>
      <c r="J51" s="115"/>
    </row>
    <row r="52" spans="2:10" x14ac:dyDescent="0.25">
      <c r="B52" t="s">
        <v>276</v>
      </c>
      <c r="C52" s="83">
        <v>42370</v>
      </c>
      <c r="D52" s="83">
        <v>42735</v>
      </c>
      <c r="E52" s="82" t="s">
        <v>164</v>
      </c>
      <c r="F52" s="115">
        <v>59049.080462539117</v>
      </c>
      <c r="G52" s="115">
        <v>4299.8572757346483</v>
      </c>
      <c r="H52" s="115">
        <v>9909.519919675864</v>
      </c>
      <c r="I52" s="115">
        <v>73258.457657949635</v>
      </c>
      <c r="J52" s="115"/>
    </row>
    <row r="53" spans="2:10" x14ac:dyDescent="0.25">
      <c r="B53" t="s">
        <v>275</v>
      </c>
      <c r="C53" s="83">
        <v>42370</v>
      </c>
      <c r="D53" s="83">
        <v>42735</v>
      </c>
      <c r="E53" s="82" t="s">
        <v>164</v>
      </c>
      <c r="F53" s="115">
        <v>60862.708093899295</v>
      </c>
      <c r="G53" s="115">
        <v>4431.9226678642463</v>
      </c>
      <c r="H53" s="115">
        <v>10213.879936784679</v>
      </c>
      <c r="I53" s="115">
        <v>75508.510698548227</v>
      </c>
      <c r="J53" s="115"/>
    </row>
    <row r="54" spans="2:10" x14ac:dyDescent="0.25">
      <c r="B54" t="s">
        <v>274</v>
      </c>
      <c r="C54" s="83">
        <v>42370</v>
      </c>
      <c r="D54" s="83">
        <v>42735</v>
      </c>
      <c r="E54" s="82" t="s">
        <v>164</v>
      </c>
      <c r="F54" s="115">
        <v>62588.625162373726</v>
      </c>
      <c r="G54" s="115">
        <v>4557.6011205355353</v>
      </c>
      <c r="H54" s="115">
        <v>10503.520510961042</v>
      </c>
      <c r="I54" s="115">
        <v>77649.746793870305</v>
      </c>
      <c r="J54" s="115"/>
    </row>
    <row r="55" spans="2:10" x14ac:dyDescent="0.25">
      <c r="B55" t="s">
        <v>273</v>
      </c>
      <c r="C55" s="83">
        <v>42370</v>
      </c>
      <c r="D55" s="83">
        <v>42735</v>
      </c>
      <c r="E55" s="82" t="s">
        <v>164</v>
      </c>
      <c r="F55" s="115">
        <v>63216.699436230134</v>
      </c>
      <c r="G55" s="115">
        <v>4603.3364599343686</v>
      </c>
      <c r="H55" s="115">
        <v>10608.92290637623</v>
      </c>
      <c r="I55" s="115">
        <v>78428.958802540728</v>
      </c>
      <c r="J55" s="115"/>
    </row>
    <row r="56" spans="2:10" x14ac:dyDescent="0.25">
      <c r="B56" t="s">
        <v>272</v>
      </c>
      <c r="C56" s="83">
        <v>42370</v>
      </c>
      <c r="D56" s="83">
        <v>42735</v>
      </c>
      <c r="E56" s="82" t="s">
        <v>164</v>
      </c>
      <c r="F56" s="115">
        <v>66424.547169927988</v>
      </c>
      <c r="G56" s="115">
        <v>4836.9266752119829</v>
      </c>
      <c r="H56" s="115">
        <v>11147.258656355143</v>
      </c>
      <c r="I56" s="115">
        <v>82408.732501495106</v>
      </c>
      <c r="J56" s="115"/>
    </row>
    <row r="57" spans="2:10" x14ac:dyDescent="0.25">
      <c r="B57" t="s">
        <v>271</v>
      </c>
      <c r="C57" s="83">
        <v>42370</v>
      </c>
      <c r="D57" s="83">
        <v>42735</v>
      </c>
      <c r="E57" s="82" t="s">
        <v>164</v>
      </c>
      <c r="F57" s="115">
        <v>68447.379628963594</v>
      </c>
      <c r="G57" s="115">
        <v>4984.2260200695955</v>
      </c>
      <c r="H57" s="115">
        <v>11486.727084821141</v>
      </c>
      <c r="I57" s="115">
        <v>84918.332733854331</v>
      </c>
      <c r="J57" s="115"/>
    </row>
    <row r="58" spans="2:10" x14ac:dyDescent="0.25">
      <c r="B58" t="s">
        <v>270</v>
      </c>
      <c r="C58" s="83">
        <v>42370</v>
      </c>
      <c r="D58" s="83">
        <v>42735</v>
      </c>
      <c r="E58" s="82" t="s">
        <v>164</v>
      </c>
      <c r="F58" s="115">
        <v>70471.894667296525</v>
      </c>
      <c r="G58" s="115">
        <v>5131.6478875944013</v>
      </c>
      <c r="H58" s="115">
        <v>11826.477880987572</v>
      </c>
      <c r="I58" s="115">
        <v>87430.020435878498</v>
      </c>
      <c r="J58" s="115"/>
    </row>
    <row r="59" spans="2:10" x14ac:dyDescent="0.25">
      <c r="B59" t="s">
        <v>269</v>
      </c>
      <c r="C59" s="83">
        <v>42370</v>
      </c>
      <c r="D59" s="83">
        <v>42735</v>
      </c>
      <c r="E59" s="82" t="s">
        <v>164</v>
      </c>
      <c r="F59" s="115">
        <v>71311.012932148602</v>
      </c>
      <c r="G59" s="115">
        <v>5192.7511045803967</v>
      </c>
      <c r="H59" s="115">
        <v>11967.297333134517</v>
      </c>
      <c r="I59" s="115">
        <v>88471.061369863513</v>
      </c>
      <c r="J59" s="115"/>
    </row>
    <row r="60" spans="2:10" x14ac:dyDescent="0.25">
      <c r="B60" t="s">
        <v>276</v>
      </c>
      <c r="C60" s="83">
        <v>42370</v>
      </c>
      <c r="D60" s="83">
        <v>42735</v>
      </c>
      <c r="E60" s="82" t="s">
        <v>162</v>
      </c>
      <c r="F60" s="115">
        <v>32.444549704691816</v>
      </c>
      <c r="G60" s="115">
        <v>2.2316437433846641</v>
      </c>
      <c r="H60" s="115">
        <v>3.0426774155436553</v>
      </c>
      <c r="I60" s="115">
        <v>37.718870863620133</v>
      </c>
      <c r="J60" s="115">
        <f>I60*1.03</f>
        <v>38.850436989528738</v>
      </c>
    </row>
    <row r="61" spans="2:10" x14ac:dyDescent="0.25">
      <c r="B61" t="s">
        <v>275</v>
      </c>
      <c r="C61" s="83">
        <v>42370</v>
      </c>
      <c r="D61" s="83">
        <v>42735</v>
      </c>
      <c r="E61" s="82" t="s">
        <v>162</v>
      </c>
      <c r="F61" s="115">
        <v>33.441048403241375</v>
      </c>
      <c r="G61" s="115">
        <v>2.3001862291380561</v>
      </c>
      <c r="H61" s="115">
        <v>3.1361299094846302</v>
      </c>
      <c r="I61" s="115">
        <v>38.877364541864061</v>
      </c>
      <c r="J61" s="115"/>
    </row>
    <row r="62" spans="2:10" x14ac:dyDescent="0.25">
      <c r="B62" t="s">
        <v>274</v>
      </c>
      <c r="C62" s="83">
        <v>42370</v>
      </c>
      <c r="D62" s="83">
        <v>42735</v>
      </c>
      <c r="E62" s="82" t="s">
        <v>162</v>
      </c>
      <c r="F62" s="115">
        <v>34.389354484820728</v>
      </c>
      <c r="G62" s="115">
        <v>2.3654138668470837</v>
      </c>
      <c r="H62" s="115">
        <v>3.2250628588923682</v>
      </c>
      <c r="I62" s="115">
        <v>39.979831210560178</v>
      </c>
      <c r="J62" s="115"/>
    </row>
    <row r="63" spans="2:10" x14ac:dyDescent="0.25">
      <c r="B63" t="s">
        <v>273</v>
      </c>
      <c r="C63" s="83">
        <v>42370</v>
      </c>
      <c r="D63" s="83">
        <v>42735</v>
      </c>
      <c r="E63" s="82" t="s">
        <v>162</v>
      </c>
      <c r="F63" s="115">
        <v>34.734450239686886</v>
      </c>
      <c r="G63" s="115">
        <v>2.3891506975081764</v>
      </c>
      <c r="H63" s="115">
        <v>3.2574262317574076</v>
      </c>
      <c r="I63" s="115">
        <v>40.381027168952471</v>
      </c>
      <c r="J63" s="115"/>
    </row>
    <row r="64" spans="2:10" x14ac:dyDescent="0.25">
      <c r="B64" t="s">
        <v>272</v>
      </c>
      <c r="C64" s="83">
        <v>42370</v>
      </c>
      <c r="D64" s="83">
        <v>42735</v>
      </c>
      <c r="E64" s="82" t="s">
        <v>162</v>
      </c>
      <c r="F64" s="115">
        <v>36.49700393952088</v>
      </c>
      <c r="G64" s="115">
        <v>2.5103849871628494</v>
      </c>
      <c r="H64" s="115">
        <v>3.4227200140715537</v>
      </c>
      <c r="I64" s="115">
        <v>42.430108940755282</v>
      </c>
      <c r="J64" s="115"/>
    </row>
    <row r="65" spans="2:10" x14ac:dyDescent="0.25">
      <c r="B65" t="s">
        <v>271</v>
      </c>
      <c r="C65" s="83">
        <v>42370</v>
      </c>
      <c r="D65" s="83">
        <v>42735</v>
      </c>
      <c r="E65" s="82" t="s">
        <v>162</v>
      </c>
      <c r="F65" s="115">
        <v>37.608450345584409</v>
      </c>
      <c r="G65" s="115">
        <v>2.586833957506868</v>
      </c>
      <c r="H65" s="115">
        <v>3.5269524016095937</v>
      </c>
      <c r="I65" s="115">
        <v>43.722236704700869</v>
      </c>
      <c r="J65" s="115"/>
    </row>
    <row r="66" spans="2:10" x14ac:dyDescent="0.25">
      <c r="B66" t="s">
        <v>270</v>
      </c>
      <c r="C66" s="83">
        <v>42370</v>
      </c>
      <c r="D66" s="83">
        <v>42735</v>
      </c>
      <c r="E66" s="82" t="s">
        <v>162</v>
      </c>
      <c r="F66" s="115">
        <v>38.720821245767311</v>
      </c>
      <c r="G66" s="115">
        <v>2.663346517622855</v>
      </c>
      <c r="H66" s="115">
        <v>3.631271488991012</v>
      </c>
      <c r="I66" s="115">
        <v>45.015439252381178</v>
      </c>
      <c r="J66" s="115"/>
    </row>
    <row r="67" spans="2:10" x14ac:dyDescent="0.25">
      <c r="B67" t="s">
        <v>269</v>
      </c>
      <c r="C67" s="83">
        <v>42370</v>
      </c>
      <c r="D67" s="83">
        <v>42735</v>
      </c>
      <c r="E67" s="82" t="s">
        <v>162</v>
      </c>
      <c r="F67" s="115">
        <v>39.181875237444302</v>
      </c>
      <c r="G67" s="115">
        <v>2.6950593404314165</v>
      </c>
      <c r="H67" s="115">
        <v>3.6745095237484779</v>
      </c>
      <c r="I67" s="115">
        <v>45.551444101624199</v>
      </c>
      <c r="J67" s="115"/>
    </row>
    <row r="68" spans="2:10" x14ac:dyDescent="0.25">
      <c r="B68" s="114" t="s">
        <v>268</v>
      </c>
      <c r="C68" s="113">
        <v>42370</v>
      </c>
      <c r="D68" s="113">
        <v>42735</v>
      </c>
      <c r="E68" s="112" t="s">
        <v>162</v>
      </c>
      <c r="F68" s="111">
        <v>40.94264173881853</v>
      </c>
      <c r="G68" s="110">
        <v>2.8161707006481032</v>
      </c>
      <c r="H68" s="110">
        <v>3.8396357010738011</v>
      </c>
      <c r="I68" s="110">
        <v>47.598448140540434</v>
      </c>
      <c r="J68" s="115"/>
    </row>
    <row r="69" spans="2:10" x14ac:dyDescent="0.25">
      <c r="B69" s="114" t="s">
        <v>267</v>
      </c>
      <c r="C69" s="113">
        <v>42370</v>
      </c>
      <c r="D69" s="113">
        <v>42735</v>
      </c>
      <c r="E69" s="112" t="s">
        <v>162</v>
      </c>
      <c r="F69" s="111">
        <v>42.053539862644939</v>
      </c>
      <c r="G69" s="110">
        <v>2.8925819583212657</v>
      </c>
      <c r="H69" s="110">
        <v>3.943816670238173</v>
      </c>
      <c r="I69" s="110">
        <v>48.889938491204376</v>
      </c>
      <c r="J69" s="115"/>
    </row>
    <row r="70" spans="2:10" x14ac:dyDescent="0.25">
      <c r="B70" s="114" t="s">
        <v>266</v>
      </c>
      <c r="C70" s="113">
        <v>42370</v>
      </c>
      <c r="D70" s="113">
        <v>42735</v>
      </c>
      <c r="E70" s="112" t="s">
        <v>162</v>
      </c>
      <c r="F70" s="111">
        <v>43.165343708400414</v>
      </c>
      <c r="G70" s="110">
        <v>2.9690555145528825</v>
      </c>
      <c r="H70" s="110">
        <v>4.048082578773978</v>
      </c>
      <c r="I70" s="110">
        <v>50.182481801727278</v>
      </c>
      <c r="J70" s="115"/>
    </row>
    <row r="71" spans="2:10" x14ac:dyDescent="0.25">
      <c r="B71" s="114" t="s">
        <v>265</v>
      </c>
      <c r="C71" s="113">
        <v>42370</v>
      </c>
      <c r="D71" s="113">
        <v>42735</v>
      </c>
      <c r="E71" s="112" t="s">
        <v>162</v>
      </c>
      <c r="F71" s="111">
        <v>43.625639803104768</v>
      </c>
      <c r="G71" s="110">
        <v>3.0007162066938129</v>
      </c>
      <c r="H71" s="110">
        <v>4.0912495373099231</v>
      </c>
      <c r="I71" s="110">
        <v>50.717605547108505</v>
      </c>
      <c r="J71" s="115"/>
    </row>
    <row r="72" spans="2:10" x14ac:dyDescent="0.25">
      <c r="B72" s="114" t="s">
        <v>264</v>
      </c>
      <c r="C72" s="113">
        <v>42370</v>
      </c>
      <c r="D72" s="113">
        <v>42735</v>
      </c>
      <c r="E72" s="112" t="s">
        <v>162</v>
      </c>
      <c r="F72" s="111">
        <v>45.27364625270544</v>
      </c>
      <c r="G72" s="110">
        <v>3.1140715565378909</v>
      </c>
      <c r="H72" s="110">
        <v>4.245800981250758</v>
      </c>
      <c r="I72" s="110">
        <v>52.633518790494087</v>
      </c>
      <c r="J72" s="115"/>
    </row>
    <row r="73" spans="2:10" x14ac:dyDescent="0.25">
      <c r="B73" s="114" t="s">
        <v>263</v>
      </c>
      <c r="C73" s="113">
        <v>42370</v>
      </c>
      <c r="D73" s="113">
        <v>42735</v>
      </c>
      <c r="E73" s="112" t="s">
        <v>162</v>
      </c>
      <c r="F73" s="111">
        <v>46.663452095281613</v>
      </c>
      <c r="G73" s="110">
        <v>3.2096670122102511</v>
      </c>
      <c r="H73" s="110">
        <v>4.3761381530619481</v>
      </c>
      <c r="I73" s="110">
        <v>54.249257260553811</v>
      </c>
      <c r="J73" s="115"/>
    </row>
    <row r="74" spans="2:10" x14ac:dyDescent="0.25">
      <c r="B74" s="114" t="s">
        <v>262</v>
      </c>
      <c r="C74" s="113">
        <v>42370</v>
      </c>
      <c r="D74" s="113">
        <v>42735</v>
      </c>
      <c r="E74" s="112" t="s">
        <v>162</v>
      </c>
      <c r="F74" s="111">
        <v>48.053954045051412</v>
      </c>
      <c r="G74" s="110">
        <v>3.3053103484442938</v>
      </c>
      <c r="H74" s="110">
        <v>4.5065406063967268</v>
      </c>
      <c r="I74" s="110">
        <v>55.865804999892433</v>
      </c>
      <c r="J74" s="115"/>
    </row>
    <row r="75" spans="2:10" x14ac:dyDescent="0.25">
      <c r="B75" s="114" t="s">
        <v>261</v>
      </c>
      <c r="C75" s="113">
        <v>42370</v>
      </c>
      <c r="D75" s="113">
        <v>42735</v>
      </c>
      <c r="E75" s="112" t="s">
        <v>162</v>
      </c>
      <c r="F75" s="111">
        <v>48.629450479593949</v>
      </c>
      <c r="G75" s="110">
        <v>3.3448949020650627</v>
      </c>
      <c r="H75" s="110">
        <v>4.5605111506035794</v>
      </c>
      <c r="I75" s="110">
        <v>56.534856532262594</v>
      </c>
      <c r="J75" s="115"/>
    </row>
    <row r="76" spans="2:10" x14ac:dyDescent="0.25">
      <c r="B76" s="114" t="s">
        <v>260</v>
      </c>
      <c r="C76" s="113">
        <v>42370</v>
      </c>
      <c r="D76" s="113">
        <v>42735</v>
      </c>
      <c r="E76" s="112" t="s">
        <v>162</v>
      </c>
      <c r="F76" s="111">
        <v>50.994246994433048</v>
      </c>
      <c r="G76" s="110">
        <v>3.5075534501032664</v>
      </c>
      <c r="H76" s="110">
        <v>4.7822837753910568</v>
      </c>
      <c r="I76" s="110">
        <v>59.284084219927372</v>
      </c>
      <c r="J76" s="79"/>
    </row>
    <row r="77" spans="2:10" x14ac:dyDescent="0.25">
      <c r="B77" s="114" t="s">
        <v>259</v>
      </c>
      <c r="C77" s="113">
        <v>42370</v>
      </c>
      <c r="D77" s="113">
        <v>42735</v>
      </c>
      <c r="E77" s="112" t="s">
        <v>162</v>
      </c>
      <c r="F77" s="111">
        <v>52.661931254271892</v>
      </c>
      <c r="G77" s="110">
        <v>3.6222623050044715</v>
      </c>
      <c r="H77" s="110">
        <v>4.938680621081768</v>
      </c>
      <c r="I77" s="110">
        <v>61.222874180358133</v>
      </c>
      <c r="J77" s="79"/>
    </row>
    <row r="78" spans="2:10" x14ac:dyDescent="0.25">
      <c r="B78" s="114" t="s">
        <v>258</v>
      </c>
      <c r="C78" s="113">
        <v>42370</v>
      </c>
      <c r="D78" s="113">
        <v>42735</v>
      </c>
      <c r="E78" s="112" t="s">
        <v>162</v>
      </c>
      <c r="F78" s="111">
        <v>54.329868146434954</v>
      </c>
      <c r="G78" s="110">
        <v>3.7369885367948878</v>
      </c>
      <c r="H78" s="110">
        <v>5.0951011588463189</v>
      </c>
      <c r="I78" s="110">
        <v>63.161957842076163</v>
      </c>
      <c r="J78" s="79"/>
    </row>
    <row r="79" spans="2:10" x14ac:dyDescent="0.25">
      <c r="B79" s="114" t="s">
        <v>257</v>
      </c>
      <c r="C79" s="113">
        <v>42370</v>
      </c>
      <c r="D79" s="113">
        <v>42735</v>
      </c>
      <c r="E79" s="112" t="s">
        <v>162</v>
      </c>
      <c r="F79" s="111">
        <v>55.996017840138293</v>
      </c>
      <c r="G79" s="110">
        <v>3.8515918391473201</v>
      </c>
      <c r="H79" s="110">
        <v>5.2513540916220505</v>
      </c>
      <c r="I79" s="110">
        <v>65.098963770907659</v>
      </c>
      <c r="J79" s="79"/>
    </row>
    <row r="80" spans="2:10" x14ac:dyDescent="0.25">
      <c r="B80" s="114" t="s">
        <v>256</v>
      </c>
      <c r="C80" s="113">
        <v>42370</v>
      </c>
      <c r="D80" s="113">
        <v>42735</v>
      </c>
      <c r="E80" s="112" t="s">
        <v>162</v>
      </c>
      <c r="F80" s="111">
        <v>56.685451452897986</v>
      </c>
      <c r="G80" s="110">
        <v>3.8990133698018741</v>
      </c>
      <c r="H80" s="110">
        <v>5.3160097611306103</v>
      </c>
      <c r="I80" s="110">
        <v>65.900474583830473</v>
      </c>
      <c r="J80" s="79"/>
    </row>
    <row r="81" spans="2:10" x14ac:dyDescent="0.25">
      <c r="B81" s="114" t="s">
        <v>255</v>
      </c>
      <c r="C81" s="113">
        <v>42370</v>
      </c>
      <c r="D81" s="113">
        <v>42735</v>
      </c>
      <c r="E81" s="112" t="s">
        <v>162</v>
      </c>
      <c r="F81" s="111">
        <v>59.330271023151425</v>
      </c>
      <c r="G81" s="110">
        <v>4.0809328323945042</v>
      </c>
      <c r="H81" s="110">
        <v>5.5640431857841905</v>
      </c>
      <c r="I81" s="110">
        <v>68.975247041330121</v>
      </c>
      <c r="J81" s="79"/>
    </row>
    <row r="82" spans="2:10" x14ac:dyDescent="0.25">
      <c r="B82" s="114" t="s">
        <v>254</v>
      </c>
      <c r="C82" s="113">
        <v>42370</v>
      </c>
      <c r="D82" s="113">
        <v>42735</v>
      </c>
      <c r="E82" s="112" t="s">
        <v>162</v>
      </c>
      <c r="F82" s="111">
        <v>60.997597843298344</v>
      </c>
      <c r="G82" s="110">
        <v>4.1956171014081152</v>
      </c>
      <c r="H82" s="110">
        <v>5.7204065104771402</v>
      </c>
      <c r="I82" s="110">
        <v>70.913621455183602</v>
      </c>
      <c r="J82" s="79"/>
    </row>
    <row r="83" spans="2:10" x14ac:dyDescent="0.25">
      <c r="B83" s="114" t="s">
        <v>253</v>
      </c>
      <c r="C83" s="113">
        <v>42370</v>
      </c>
      <c r="D83" s="113">
        <v>42735</v>
      </c>
      <c r="E83" s="112" t="s">
        <v>162</v>
      </c>
      <c r="F83" s="111">
        <v>61.68804198535485</v>
      </c>
      <c r="G83" s="110">
        <v>4.2431081396195092</v>
      </c>
      <c r="H83" s="110">
        <v>5.785156948281057</v>
      </c>
      <c r="I83" s="110">
        <v>71.716307073255422</v>
      </c>
      <c r="J83" s="79"/>
    </row>
    <row r="84" spans="2:10" x14ac:dyDescent="0.25">
      <c r="B84" s="114" t="s">
        <v>252</v>
      </c>
      <c r="C84" s="113">
        <v>42370</v>
      </c>
      <c r="D84" s="113">
        <v>42735</v>
      </c>
      <c r="E84" s="112" t="s">
        <v>162</v>
      </c>
      <c r="F84" s="111">
        <v>63.620169972464467</v>
      </c>
      <c r="G84" s="110">
        <v>4.376006311210654</v>
      </c>
      <c r="H84" s="110">
        <v>5.9663535512182868</v>
      </c>
      <c r="I84" s="110">
        <v>73.962529834893402</v>
      </c>
      <c r="J84" s="79"/>
    </row>
    <row r="85" spans="2:10" x14ac:dyDescent="0.25">
      <c r="B85" s="114" t="s">
        <v>251</v>
      </c>
      <c r="C85" s="113">
        <v>42370</v>
      </c>
      <c r="D85" s="113">
        <v>42735</v>
      </c>
      <c r="E85" s="112" t="s">
        <v>162</v>
      </c>
      <c r="F85" s="111">
        <v>65.528773241470674</v>
      </c>
      <c r="G85" s="110">
        <v>4.5072863746619678</v>
      </c>
      <c r="H85" s="110">
        <v>6.1453439861201531</v>
      </c>
      <c r="I85" s="110">
        <v>76.1814036022528</v>
      </c>
      <c r="J85" s="79"/>
    </row>
    <row r="86" spans="2:10" x14ac:dyDescent="0.25">
      <c r="B86" s="108" t="s">
        <v>250</v>
      </c>
      <c r="C86" s="107">
        <v>42370</v>
      </c>
      <c r="D86" s="107">
        <v>42735</v>
      </c>
      <c r="E86" s="106" t="s">
        <v>162</v>
      </c>
      <c r="F86" s="105">
        <v>66.328859812232849</v>
      </c>
      <c r="G86" s="104">
        <v>4.5623189827905763</v>
      </c>
      <c r="H86" s="104">
        <v>6.2203767839705035</v>
      </c>
      <c r="I86" s="104">
        <v>77.111555578993929</v>
      </c>
      <c r="J86" s="79"/>
    </row>
    <row r="87" spans="2:10" x14ac:dyDescent="0.25">
      <c r="B87" t="s">
        <v>249</v>
      </c>
      <c r="C87" s="83">
        <v>42370</v>
      </c>
      <c r="D87" s="83">
        <v>42735</v>
      </c>
      <c r="E87" s="82" t="s">
        <v>160</v>
      </c>
      <c r="F87" s="115">
        <v>39.898254163221544</v>
      </c>
      <c r="G87" s="115">
        <v>2.7800106044578685</v>
      </c>
      <c r="H87" s="115">
        <v>3.7903341455060464</v>
      </c>
      <c r="I87" s="115">
        <v>46.46859891318546</v>
      </c>
      <c r="J87" s="79"/>
    </row>
    <row r="88" spans="2:10" x14ac:dyDescent="0.25">
      <c r="B88" t="s">
        <v>248</v>
      </c>
      <c r="C88" s="83">
        <v>42370</v>
      </c>
      <c r="D88" s="83">
        <v>42735</v>
      </c>
      <c r="E88" s="82" t="s">
        <v>160</v>
      </c>
      <c r="F88" s="115">
        <v>41.123621743297221</v>
      </c>
      <c r="G88" s="115">
        <v>2.8653911540185919</v>
      </c>
      <c r="H88" s="115">
        <v>3.9067440656132364</v>
      </c>
      <c r="I88" s="115">
        <v>47.895756962929049</v>
      </c>
      <c r="J88" s="79"/>
    </row>
    <row r="89" spans="2:10" x14ac:dyDescent="0.25">
      <c r="B89" t="s">
        <v>247</v>
      </c>
      <c r="C89" s="83">
        <v>42370</v>
      </c>
      <c r="D89" s="83">
        <v>42735</v>
      </c>
      <c r="E89" s="82" t="s">
        <v>160</v>
      </c>
      <c r="F89" s="115">
        <v>42.289709064325294</v>
      </c>
      <c r="G89" s="115">
        <v>2.9466412033295257</v>
      </c>
      <c r="H89" s="115">
        <v>4.0175223611109026</v>
      </c>
      <c r="I89" s="115">
        <v>49.25387262876572</v>
      </c>
      <c r="J89" s="79"/>
    </row>
    <row r="90" spans="2:10" x14ac:dyDescent="0.25">
      <c r="B90" t="s">
        <v>246</v>
      </c>
      <c r="C90" s="83">
        <v>42370</v>
      </c>
      <c r="D90" s="83">
        <v>42735</v>
      </c>
      <c r="E90" s="82" t="s">
        <v>160</v>
      </c>
      <c r="F90" s="115">
        <v>42.714096454357183</v>
      </c>
      <c r="G90" s="115">
        <v>2.9762114556984725</v>
      </c>
      <c r="H90" s="115">
        <v>4.0578391631639317</v>
      </c>
      <c r="I90" s="115">
        <v>49.748147073219585</v>
      </c>
      <c r="J90" s="79"/>
    </row>
    <row r="91" spans="2:10" x14ac:dyDescent="0.25">
      <c r="B91" t="s">
        <v>245</v>
      </c>
      <c r="C91" s="83">
        <v>42370</v>
      </c>
      <c r="D91" s="83">
        <v>42735</v>
      </c>
      <c r="E91" s="82" t="s">
        <v>160</v>
      </c>
      <c r="F91" s="115">
        <v>44.881689532992965</v>
      </c>
      <c r="G91" s="115">
        <v>3.1272439224351172</v>
      </c>
      <c r="H91" s="115">
        <v>4.2637605056343313</v>
      </c>
      <c r="I91" s="115">
        <v>52.272693961062416</v>
      </c>
      <c r="J91" s="79"/>
    </row>
    <row r="92" spans="2:10" x14ac:dyDescent="0.25">
      <c r="B92" t="s">
        <v>244</v>
      </c>
      <c r="C92" s="83">
        <v>42370</v>
      </c>
      <c r="D92" s="83">
        <v>42735</v>
      </c>
      <c r="E92" s="82" t="s">
        <v>160</v>
      </c>
      <c r="F92" s="115">
        <v>46.248481588334478</v>
      </c>
      <c r="G92" s="115">
        <v>3.2224785758711754</v>
      </c>
      <c r="H92" s="115">
        <v>4.3936057508917754</v>
      </c>
      <c r="I92" s="115">
        <v>53.86456591509743</v>
      </c>
      <c r="J92" s="79"/>
    </row>
    <row r="93" spans="2:10" x14ac:dyDescent="0.25">
      <c r="B93" t="s">
        <v>243</v>
      </c>
      <c r="C93" s="83">
        <v>42370</v>
      </c>
      <c r="D93" s="83">
        <v>42735</v>
      </c>
      <c r="E93" s="82" t="s">
        <v>160</v>
      </c>
      <c r="F93" s="115">
        <v>47.616372115032505</v>
      </c>
      <c r="G93" s="115">
        <v>3.3177897680451771</v>
      </c>
      <c r="H93" s="115">
        <v>4.5235553509280875</v>
      </c>
      <c r="I93" s="115">
        <v>55.45771723400577</v>
      </c>
      <c r="J93" s="79"/>
    </row>
    <row r="94" spans="2:10" x14ac:dyDescent="0.25">
      <c r="B94" t="s">
        <v>242</v>
      </c>
      <c r="C94" s="83">
        <v>42370</v>
      </c>
      <c r="D94" s="83">
        <v>42735</v>
      </c>
      <c r="E94" s="82" t="s">
        <v>160</v>
      </c>
      <c r="F94" s="115">
        <v>48.183326434699694</v>
      </c>
      <c r="G94" s="115">
        <v>3.3572937276537886</v>
      </c>
      <c r="H94" s="115">
        <v>4.5774160112964717</v>
      </c>
      <c r="I94" s="115">
        <v>56.118036173649955</v>
      </c>
      <c r="J94" s="79"/>
    </row>
    <row r="95" spans="2:10" x14ac:dyDescent="0.25">
      <c r="B95" s="114" t="s">
        <v>241</v>
      </c>
      <c r="C95" s="113">
        <v>42370</v>
      </c>
      <c r="D95" s="113">
        <v>42735</v>
      </c>
      <c r="E95" s="112" t="s">
        <v>160</v>
      </c>
      <c r="F95" s="111">
        <v>50.348671842222252</v>
      </c>
      <c r="G95" s="110">
        <v>3.5081695822864409</v>
      </c>
      <c r="H95" s="110">
        <v>4.7831238250111134</v>
      </c>
      <c r="I95" s="110">
        <v>58.639965249519804</v>
      </c>
      <c r="J95" s="109" t="s">
        <v>240</v>
      </c>
    </row>
    <row r="96" spans="2:10" x14ac:dyDescent="0.25">
      <c r="B96" s="114" t="s">
        <v>239</v>
      </c>
      <c r="C96" s="113">
        <v>42370</v>
      </c>
      <c r="D96" s="113">
        <v>42735</v>
      </c>
      <c r="E96" s="112" t="s">
        <v>160</v>
      </c>
      <c r="F96" s="111">
        <v>51.714774350110531</v>
      </c>
      <c r="G96" s="110">
        <v>3.6033561897798272</v>
      </c>
      <c r="H96" s="110">
        <v>4.9129035632605005</v>
      </c>
      <c r="I96" s="110">
        <v>60.231034103150861</v>
      </c>
      <c r="J96" s="109" t="s">
        <v>238</v>
      </c>
    </row>
    <row r="97" spans="2:10" x14ac:dyDescent="0.25">
      <c r="B97" s="114" t="s">
        <v>237</v>
      </c>
      <c r="C97" s="113">
        <v>42370</v>
      </c>
      <c r="D97" s="113">
        <v>42735</v>
      </c>
      <c r="E97" s="112" t="s">
        <v>160</v>
      </c>
      <c r="F97" s="111">
        <v>53.081951720500015</v>
      </c>
      <c r="G97" s="110">
        <v>3.6986176910051398</v>
      </c>
      <c r="H97" s="110">
        <v>5.0427854134475023</v>
      </c>
      <c r="I97" s="110">
        <v>61.823354824952659</v>
      </c>
      <c r="J97" s="109" t="s">
        <v>236</v>
      </c>
    </row>
    <row r="98" spans="2:10" x14ac:dyDescent="0.25">
      <c r="B98" s="114" t="s">
        <v>235</v>
      </c>
      <c r="C98" s="113">
        <v>42370</v>
      </c>
      <c r="D98" s="113">
        <v>42735</v>
      </c>
      <c r="E98" s="112" t="s">
        <v>160</v>
      </c>
      <c r="F98" s="111">
        <v>53.647952870628103</v>
      </c>
      <c r="G98" s="110">
        <v>3.7380552361431896</v>
      </c>
      <c r="H98" s="110">
        <v>5.0965555227096688</v>
      </c>
      <c r="I98" s="110">
        <v>62.482563629480964</v>
      </c>
      <c r="J98" s="109" t="s">
        <v>234</v>
      </c>
    </row>
    <row r="99" spans="2:10" x14ac:dyDescent="0.25">
      <c r="B99" s="114" t="s">
        <v>233</v>
      </c>
      <c r="C99" s="113">
        <v>42370</v>
      </c>
      <c r="D99" s="113">
        <v>42735</v>
      </c>
      <c r="E99" s="112" t="s">
        <v>160</v>
      </c>
      <c r="F99" s="111">
        <v>55.67466276961251</v>
      </c>
      <c r="G99" s="110">
        <v>3.8792713151296754</v>
      </c>
      <c r="H99" s="110">
        <v>5.2890929631131884</v>
      </c>
      <c r="I99" s="110">
        <v>64.843027047855372</v>
      </c>
      <c r="J99" s="109" t="s">
        <v>232</v>
      </c>
    </row>
    <row r="100" spans="2:10" x14ac:dyDescent="0.25">
      <c r="B100" s="114" t="s">
        <v>231</v>
      </c>
      <c r="C100" s="113">
        <v>42370</v>
      </c>
      <c r="D100" s="113">
        <v>42735</v>
      </c>
      <c r="E100" s="112" t="s">
        <v>160</v>
      </c>
      <c r="F100" s="111">
        <v>57.383732709044295</v>
      </c>
      <c r="G100" s="110">
        <v>3.9983550358344337</v>
      </c>
      <c r="H100" s="110">
        <v>5.4514546073592083</v>
      </c>
      <c r="I100" s="110">
        <v>66.833542352237941</v>
      </c>
      <c r="J100" s="109" t="s">
        <v>230</v>
      </c>
    </row>
    <row r="101" spans="2:10" x14ac:dyDescent="0.25">
      <c r="B101" s="114" t="s">
        <v>229</v>
      </c>
      <c r="C101" s="113">
        <v>42370</v>
      </c>
      <c r="D101" s="113">
        <v>42735</v>
      </c>
      <c r="E101" s="112" t="s">
        <v>160</v>
      </c>
      <c r="F101" s="111">
        <v>59.093715768364049</v>
      </c>
      <c r="G101" s="110">
        <v>4.117502380450186</v>
      </c>
      <c r="H101" s="110">
        <v>5.6139029979945843</v>
      </c>
      <c r="I101" s="110">
        <v>68.825121146808812</v>
      </c>
      <c r="J101" s="109" t="s">
        <v>228</v>
      </c>
    </row>
    <row r="102" spans="2:10" x14ac:dyDescent="0.25">
      <c r="B102" s="114" t="s">
        <v>227</v>
      </c>
      <c r="C102" s="113">
        <v>42370</v>
      </c>
      <c r="D102" s="113">
        <v>42735</v>
      </c>
      <c r="E102" s="112" t="s">
        <v>160</v>
      </c>
      <c r="F102" s="111">
        <v>59.801466845665352</v>
      </c>
      <c r="G102" s="110">
        <v>4.1668167061388477</v>
      </c>
      <c r="H102" s="110">
        <v>5.681139350338209</v>
      </c>
      <c r="I102" s="110">
        <v>69.649422902142405</v>
      </c>
      <c r="J102" s="109" t="s">
        <v>226</v>
      </c>
    </row>
    <row r="103" spans="2:10" x14ac:dyDescent="0.25">
      <c r="B103" s="114" t="s">
        <v>225</v>
      </c>
      <c r="C103" s="113">
        <v>42370</v>
      </c>
      <c r="D103" s="113">
        <v>42735</v>
      </c>
      <c r="E103" s="112" t="s">
        <v>160</v>
      </c>
      <c r="F103" s="111">
        <v>62.709460014348679</v>
      </c>
      <c r="G103" s="110">
        <v>4.3694384001497806</v>
      </c>
      <c r="H103" s="110">
        <v>5.9573987013631235</v>
      </c>
      <c r="I103" s="110">
        <v>73.036297115861586</v>
      </c>
      <c r="J103" s="109" t="s">
        <v>224</v>
      </c>
    </row>
    <row r="104" spans="2:10" x14ac:dyDescent="0.25">
      <c r="B104" s="114" t="s">
        <v>223</v>
      </c>
      <c r="C104" s="113">
        <v>42370</v>
      </c>
      <c r="D104" s="113">
        <v>42735</v>
      </c>
      <c r="E104" s="112" t="s">
        <v>160</v>
      </c>
      <c r="F104" s="111">
        <v>64.760304763222507</v>
      </c>
      <c r="G104" s="110">
        <v>4.512336135139436</v>
      </c>
      <c r="H104" s="110">
        <v>6.152228952506138</v>
      </c>
      <c r="I104" s="110">
        <v>75.424869850868077</v>
      </c>
      <c r="J104" s="109" t="s">
        <v>222</v>
      </c>
    </row>
    <row r="105" spans="2:10" x14ac:dyDescent="0.25">
      <c r="B105" s="114" t="s">
        <v>221</v>
      </c>
      <c r="C105" s="113">
        <v>42370</v>
      </c>
      <c r="D105" s="113">
        <v>42735</v>
      </c>
      <c r="E105" s="112" t="s">
        <v>160</v>
      </c>
      <c r="F105" s="111">
        <v>66.811384185952377</v>
      </c>
      <c r="G105" s="110">
        <v>4.6552502216166953</v>
      </c>
      <c r="H105" s="110">
        <v>6.3470814976654752</v>
      </c>
      <c r="I105" s="110">
        <v>77.813715905234545</v>
      </c>
      <c r="J105" s="109" t="s">
        <v>220</v>
      </c>
    </row>
    <row r="106" spans="2:10" x14ac:dyDescent="0.25">
      <c r="B106" s="114" t="s">
        <v>219</v>
      </c>
      <c r="C106" s="113">
        <v>42370</v>
      </c>
      <c r="D106" s="113">
        <v>42735</v>
      </c>
      <c r="E106" s="112" t="s">
        <v>160</v>
      </c>
      <c r="F106" s="111">
        <v>68.860253597867001</v>
      </c>
      <c r="G106" s="110">
        <v>4.7980103200653774</v>
      </c>
      <c r="H106" s="110">
        <v>6.5417240917973647</v>
      </c>
      <c r="I106" s="110">
        <v>80.199988009729736</v>
      </c>
      <c r="J106" s="109" t="s">
        <v>218</v>
      </c>
    </row>
    <row r="107" spans="2:10" x14ac:dyDescent="0.25">
      <c r="B107" s="114" t="s">
        <v>217</v>
      </c>
      <c r="C107" s="113">
        <v>42370</v>
      </c>
      <c r="D107" s="113">
        <v>42735</v>
      </c>
      <c r="E107" s="112" t="s">
        <v>160</v>
      </c>
      <c r="F107" s="111">
        <v>69.708075208391634</v>
      </c>
      <c r="G107" s="110">
        <v>4.8570844103327087</v>
      </c>
      <c r="H107" s="110">
        <v>6.6222671447972061</v>
      </c>
      <c r="I107" s="110">
        <v>81.187426763521543</v>
      </c>
      <c r="J107" s="109" t="s">
        <v>216</v>
      </c>
    </row>
    <row r="108" spans="2:10" x14ac:dyDescent="0.25">
      <c r="B108" s="114" t="s">
        <v>215</v>
      </c>
      <c r="C108" s="113">
        <v>42370</v>
      </c>
      <c r="D108" s="113">
        <v>42735</v>
      </c>
      <c r="E108" s="112" t="s">
        <v>160</v>
      </c>
      <c r="F108" s="111">
        <v>72.960566950729572</v>
      </c>
      <c r="G108" s="110">
        <v>5.08370990370946</v>
      </c>
      <c r="H108" s="110">
        <v>6.9312538603193099</v>
      </c>
      <c r="I108" s="110">
        <v>84.975530714758335</v>
      </c>
      <c r="J108" s="109" t="s">
        <v>214</v>
      </c>
    </row>
    <row r="109" spans="2:10" x14ac:dyDescent="0.25">
      <c r="B109" s="114" t="s">
        <v>213</v>
      </c>
      <c r="C109" s="113">
        <v>42370</v>
      </c>
      <c r="D109" s="113">
        <v>42735</v>
      </c>
      <c r="E109" s="112" t="s">
        <v>160</v>
      </c>
      <c r="F109" s="111">
        <v>75.010962165380718</v>
      </c>
      <c r="G109" s="110">
        <v>5.2265763162783143</v>
      </c>
      <c r="H109" s="110">
        <v>7.1260414057111685</v>
      </c>
      <c r="I109" s="110">
        <v>87.363579887370207</v>
      </c>
      <c r="J109" s="109" t="s">
        <v>212</v>
      </c>
    </row>
    <row r="110" spans="2:10" x14ac:dyDescent="0.25">
      <c r="B110" s="114" t="s">
        <v>211</v>
      </c>
      <c r="C110" s="113">
        <v>42370</v>
      </c>
      <c r="D110" s="113">
        <v>42735</v>
      </c>
      <c r="E110" s="112" t="s">
        <v>160</v>
      </c>
      <c r="F110" s="111">
        <v>75.860054668624187</v>
      </c>
      <c r="G110" s="110">
        <v>5.2857389591730612</v>
      </c>
      <c r="H110" s="110">
        <v>7.2067051935192978</v>
      </c>
      <c r="I110" s="110">
        <v>88.352498821316544</v>
      </c>
      <c r="J110" s="109" t="s">
        <v>210</v>
      </c>
    </row>
    <row r="111" spans="2:10" x14ac:dyDescent="0.25">
      <c r="B111" s="114" t="s">
        <v>209</v>
      </c>
      <c r="C111" s="113">
        <v>42370</v>
      </c>
      <c r="D111" s="113">
        <v>42735</v>
      </c>
      <c r="E111" s="112" t="s">
        <v>160</v>
      </c>
      <c r="F111" s="111">
        <v>78.235998557510513</v>
      </c>
      <c r="G111" s="110">
        <v>5.4512887894909401</v>
      </c>
      <c r="H111" s="110">
        <v>7.4324198629635001</v>
      </c>
      <c r="I111" s="110">
        <v>91.119707209964957</v>
      </c>
      <c r="J111" s="109" t="s">
        <v>208</v>
      </c>
    </row>
    <row r="112" spans="2:10" x14ac:dyDescent="0.25">
      <c r="B112" s="114" t="s">
        <v>207</v>
      </c>
      <c r="C112" s="113">
        <v>42370</v>
      </c>
      <c r="D112" s="113">
        <v>42735</v>
      </c>
      <c r="E112" s="112" t="s">
        <v>160</v>
      </c>
      <c r="F112" s="111">
        <v>80.583017317805243</v>
      </c>
      <c r="G112" s="110">
        <v>5.6148231891613749</v>
      </c>
      <c r="H112" s="110">
        <v>7.6553866451914994</v>
      </c>
      <c r="I112" s="110">
        <v>93.853227152158127</v>
      </c>
      <c r="J112" s="109" t="s">
        <v>206</v>
      </c>
    </row>
    <row r="113" spans="2:10" x14ac:dyDescent="0.25">
      <c r="B113" s="108" t="s">
        <v>205</v>
      </c>
      <c r="C113" s="107">
        <v>42370</v>
      </c>
      <c r="D113" s="107">
        <v>42735</v>
      </c>
      <c r="E113" s="106" t="s">
        <v>160</v>
      </c>
      <c r="F113" s="105">
        <v>81.566915227294146</v>
      </c>
      <c r="G113" s="104">
        <v>5.6833787357497885</v>
      </c>
      <c r="H113" s="104">
        <v>7.7488569465929444</v>
      </c>
      <c r="I113" s="104">
        <v>94.999150909636882</v>
      </c>
      <c r="J113" s="103" t="s">
        <v>204</v>
      </c>
    </row>
    <row r="114" spans="2:10" x14ac:dyDescent="0.25">
      <c r="F114" s="80"/>
      <c r="G114" s="80"/>
      <c r="H114" s="80"/>
      <c r="I114" s="79"/>
      <c r="J114" s="79"/>
    </row>
    <row r="115" spans="2:10" x14ac:dyDescent="0.25">
      <c r="F115" s="80"/>
      <c r="G115" s="80"/>
      <c r="H115" s="80"/>
      <c r="I115" s="79"/>
      <c r="J115" s="79"/>
    </row>
    <row r="116" spans="2:10" x14ac:dyDescent="0.25">
      <c r="F116" s="80"/>
      <c r="G116" s="80"/>
      <c r="H116" s="80"/>
      <c r="I116" s="79"/>
      <c r="J116" s="79"/>
    </row>
    <row r="117" spans="2:10" x14ac:dyDescent="0.25">
      <c r="F117" s="80"/>
      <c r="G117" s="80"/>
      <c r="H117" s="80"/>
      <c r="I117" s="79"/>
      <c r="J117" s="79"/>
    </row>
    <row r="118" spans="2:10" x14ac:dyDescent="0.25">
      <c r="F118" s="80"/>
      <c r="G118" s="80"/>
      <c r="H118" s="80"/>
      <c r="I118" s="79"/>
      <c r="J118" s="79"/>
    </row>
    <row r="119" spans="2:10" x14ac:dyDescent="0.25">
      <c r="F119" s="80"/>
      <c r="G119" s="80"/>
      <c r="H119" s="80"/>
      <c r="I119" s="79"/>
      <c r="J119" s="79"/>
    </row>
    <row r="120" spans="2:10" x14ac:dyDescent="0.25">
      <c r="F120" s="80"/>
      <c r="G120" s="80"/>
      <c r="H120" s="80"/>
      <c r="I120" s="79"/>
      <c r="J120" s="79"/>
    </row>
    <row r="121" spans="2:10" x14ac:dyDescent="0.25">
      <c r="F121" s="80"/>
      <c r="G121" s="80"/>
      <c r="H121" s="80"/>
      <c r="I121" s="79"/>
      <c r="J121" s="79"/>
    </row>
    <row r="122" spans="2:10" x14ac:dyDescent="0.25">
      <c r="F122" s="80"/>
      <c r="G122" s="80"/>
      <c r="H122" s="80"/>
      <c r="I122" s="79"/>
      <c r="J122" s="79"/>
    </row>
    <row r="123" spans="2:10" x14ac:dyDescent="0.25">
      <c r="F123" s="80"/>
      <c r="G123" s="80"/>
      <c r="H123" s="80"/>
      <c r="I123" s="79"/>
      <c r="J123" s="79"/>
    </row>
    <row r="124" spans="2:10" x14ac:dyDescent="0.25">
      <c r="F124" s="80"/>
      <c r="G124" s="80"/>
      <c r="H124" s="80"/>
      <c r="I124" s="79"/>
      <c r="J124" s="79"/>
    </row>
    <row r="125" spans="2:10" x14ac:dyDescent="0.25">
      <c r="F125" s="80"/>
      <c r="G125" s="80"/>
      <c r="H125" s="80"/>
      <c r="I125" s="79"/>
      <c r="J125" s="79"/>
    </row>
    <row r="126" spans="2:10" x14ac:dyDescent="0.25">
      <c r="F126" s="80"/>
      <c r="G126" s="80"/>
      <c r="H126" s="80"/>
      <c r="I126" s="79"/>
      <c r="J126" s="79"/>
    </row>
    <row r="127" spans="2:10" x14ac:dyDescent="0.25">
      <c r="F127" s="80"/>
      <c r="G127" s="80"/>
      <c r="H127" s="80"/>
      <c r="I127" s="79"/>
      <c r="J127" s="79"/>
    </row>
    <row r="128" spans="2:10" x14ac:dyDescent="0.25">
      <c r="F128" s="80"/>
      <c r="G128" s="80"/>
      <c r="H128" s="80"/>
      <c r="I128" s="79"/>
      <c r="J128" s="79"/>
    </row>
    <row r="129" spans="6:10" x14ac:dyDescent="0.25">
      <c r="F129" s="80"/>
      <c r="G129" s="80"/>
      <c r="H129" s="80"/>
      <c r="I129" s="79"/>
      <c r="J129" s="79"/>
    </row>
    <row r="130" spans="6:10" x14ac:dyDescent="0.25">
      <c r="F130" s="80"/>
      <c r="G130" s="80"/>
      <c r="H130" s="80"/>
      <c r="I130" s="79"/>
      <c r="J130" s="79"/>
    </row>
    <row r="131" spans="6:10" x14ac:dyDescent="0.25">
      <c r="F131" s="80"/>
      <c r="G131" s="80"/>
      <c r="H131" s="80"/>
      <c r="I131" s="79"/>
      <c r="J131" s="79"/>
    </row>
    <row r="132" spans="6:10" x14ac:dyDescent="0.25">
      <c r="F132" s="80"/>
      <c r="G132" s="80"/>
      <c r="H132" s="80"/>
      <c r="I132" s="79"/>
      <c r="J132" s="79"/>
    </row>
    <row r="133" spans="6:10" x14ac:dyDescent="0.25">
      <c r="F133" s="80"/>
      <c r="G133" s="80"/>
      <c r="H133" s="80"/>
      <c r="I133" s="79"/>
      <c r="J133" s="79"/>
    </row>
    <row r="134" spans="6:10" x14ac:dyDescent="0.25">
      <c r="F134" s="80"/>
      <c r="G134" s="80"/>
      <c r="H134" s="80"/>
      <c r="I134" s="79"/>
      <c r="J134" s="79"/>
    </row>
    <row r="135" spans="6:10" x14ac:dyDescent="0.25">
      <c r="F135" s="80"/>
      <c r="G135" s="80"/>
      <c r="H135" s="80"/>
      <c r="I135" s="79"/>
      <c r="J135" s="79"/>
    </row>
    <row r="136" spans="6:10" x14ac:dyDescent="0.25">
      <c r="F136" s="80"/>
      <c r="G136" s="80"/>
      <c r="H136" s="80"/>
      <c r="I136" s="79"/>
      <c r="J136" s="79"/>
    </row>
    <row r="137" spans="6:10" x14ac:dyDescent="0.25">
      <c r="F137" s="80"/>
      <c r="G137" s="80"/>
      <c r="H137" s="80"/>
      <c r="I137" s="79"/>
      <c r="J137" s="79"/>
    </row>
    <row r="138" spans="6:10" x14ac:dyDescent="0.25">
      <c r="F138" s="80"/>
      <c r="G138" s="80"/>
      <c r="H138" s="80"/>
      <c r="I138" s="79"/>
      <c r="J138" s="79"/>
    </row>
    <row r="139" spans="6:10" x14ac:dyDescent="0.25">
      <c r="F139" s="80"/>
      <c r="G139" s="80"/>
      <c r="H139" s="80"/>
      <c r="I139" s="79"/>
      <c r="J139" s="79"/>
    </row>
    <row r="140" spans="6:10" x14ac:dyDescent="0.25">
      <c r="F140" s="80"/>
      <c r="G140" s="80"/>
      <c r="H140" s="80"/>
      <c r="I140" s="79"/>
      <c r="J140" s="79"/>
    </row>
    <row r="141" spans="6:10" x14ac:dyDescent="0.25">
      <c r="F141" s="80"/>
      <c r="G141" s="80"/>
      <c r="H141" s="80"/>
      <c r="I141" s="79"/>
      <c r="J141" s="79"/>
    </row>
    <row r="142" spans="6:10" x14ac:dyDescent="0.25">
      <c r="F142" s="80"/>
      <c r="G142" s="80"/>
      <c r="H142" s="80"/>
      <c r="I142" s="79"/>
      <c r="J142" s="79"/>
    </row>
    <row r="143" spans="6:10" x14ac:dyDescent="0.25">
      <c r="F143" s="80"/>
      <c r="G143" s="80"/>
      <c r="H143" s="80"/>
      <c r="I143" s="79"/>
      <c r="J143" s="79"/>
    </row>
    <row r="144" spans="6:10" x14ac:dyDescent="0.25">
      <c r="F144" s="80"/>
      <c r="G144" s="80"/>
      <c r="H144" s="80"/>
      <c r="I144" s="79"/>
      <c r="J144" s="79"/>
    </row>
    <row r="145" spans="6:10" x14ac:dyDescent="0.25">
      <c r="F145" s="80"/>
      <c r="G145" s="80"/>
      <c r="H145" s="80"/>
      <c r="I145" s="79"/>
      <c r="J145" s="79"/>
    </row>
    <row r="146" spans="6:10" x14ac:dyDescent="0.25">
      <c r="F146" s="80"/>
      <c r="G146" s="80"/>
      <c r="H146" s="80"/>
      <c r="I146" s="79"/>
      <c r="J146" s="79"/>
    </row>
    <row r="147" spans="6:10" x14ac:dyDescent="0.25">
      <c r="F147" s="80"/>
      <c r="G147" s="80"/>
      <c r="H147" s="80"/>
      <c r="I147" s="79"/>
      <c r="J147" s="79"/>
    </row>
    <row r="148" spans="6:10" x14ac:dyDescent="0.25">
      <c r="F148" s="80"/>
      <c r="G148" s="80"/>
      <c r="H148" s="80"/>
      <c r="I148" s="79"/>
      <c r="J148" s="79"/>
    </row>
    <row r="149" spans="6:10" x14ac:dyDescent="0.25">
      <c r="F149" s="80"/>
      <c r="G149" s="80"/>
      <c r="H149" s="80"/>
      <c r="I149" s="79"/>
      <c r="J149" s="79"/>
    </row>
    <row r="150" spans="6:10" x14ac:dyDescent="0.25">
      <c r="F150" s="80"/>
      <c r="G150" s="80"/>
      <c r="H150" s="80"/>
      <c r="I150" s="79"/>
      <c r="J150" s="79"/>
    </row>
    <row r="151" spans="6:10" x14ac:dyDescent="0.25">
      <c r="F151" s="80"/>
      <c r="G151" s="80"/>
      <c r="H151" s="80"/>
      <c r="I151" s="79"/>
      <c r="J151" s="79"/>
    </row>
    <row r="152" spans="6:10" x14ac:dyDescent="0.25">
      <c r="F152" s="80"/>
      <c r="G152" s="80"/>
      <c r="H152" s="80"/>
      <c r="I152" s="79"/>
      <c r="J152" s="79"/>
    </row>
    <row r="153" spans="6:10" x14ac:dyDescent="0.25">
      <c r="F153" s="80"/>
      <c r="G153" s="80"/>
      <c r="H153" s="80"/>
      <c r="I153" s="79"/>
      <c r="J153" s="79"/>
    </row>
    <row r="154" spans="6:10" x14ac:dyDescent="0.25">
      <c r="F154" s="80"/>
      <c r="G154" s="80"/>
      <c r="H154" s="80"/>
      <c r="I154" s="79"/>
      <c r="J154" s="79"/>
    </row>
    <row r="155" spans="6:10" x14ac:dyDescent="0.25">
      <c r="F155" s="80"/>
      <c r="G155" s="80"/>
      <c r="H155" s="80"/>
      <c r="I155" s="79"/>
      <c r="J155" s="79"/>
    </row>
    <row r="156" spans="6:10" x14ac:dyDescent="0.25">
      <c r="F156" s="80"/>
      <c r="G156" s="80"/>
      <c r="H156" s="80"/>
      <c r="I156" s="79"/>
      <c r="J156" s="79"/>
    </row>
    <row r="157" spans="6:10" x14ac:dyDescent="0.25">
      <c r="F157" s="80"/>
      <c r="G157" s="80"/>
      <c r="H157" s="80"/>
      <c r="I157" s="79"/>
      <c r="J157" s="79"/>
    </row>
    <row r="158" spans="6:10" x14ac:dyDescent="0.25">
      <c r="F158" s="80"/>
      <c r="G158" s="80"/>
      <c r="H158" s="80"/>
      <c r="I158" s="79"/>
      <c r="J158" s="79"/>
    </row>
    <row r="159" spans="6:10" x14ac:dyDescent="0.25">
      <c r="F159" s="80"/>
      <c r="G159" s="80"/>
      <c r="H159" s="80"/>
      <c r="I159" s="79"/>
      <c r="J159" s="79"/>
    </row>
    <row r="160" spans="6:10" x14ac:dyDescent="0.25">
      <c r="F160" s="80"/>
      <c r="G160" s="80"/>
      <c r="H160" s="80"/>
      <c r="I160" s="79"/>
      <c r="J160" s="79"/>
    </row>
    <row r="161" spans="6:10" x14ac:dyDescent="0.25">
      <c r="F161" s="80"/>
      <c r="G161" s="80"/>
      <c r="H161" s="80"/>
      <c r="I161" s="79"/>
      <c r="J161" s="79"/>
    </row>
    <row r="162" spans="6:10" x14ac:dyDescent="0.25">
      <c r="F162" s="80"/>
      <c r="G162" s="80"/>
      <c r="H162" s="80"/>
      <c r="I162" s="79"/>
      <c r="J162" s="79"/>
    </row>
    <row r="163" spans="6:10" x14ac:dyDescent="0.25">
      <c r="F163" s="80"/>
      <c r="G163" s="80"/>
      <c r="H163" s="80"/>
      <c r="I163" s="79"/>
      <c r="J163" s="79"/>
    </row>
    <row r="164" spans="6:10" x14ac:dyDescent="0.25">
      <c r="F164" s="80"/>
      <c r="G164" s="80"/>
      <c r="H164" s="80"/>
      <c r="I164" s="79"/>
      <c r="J164" s="79"/>
    </row>
    <row r="165" spans="6:10" x14ac:dyDescent="0.25">
      <c r="F165" s="80"/>
      <c r="G165" s="80"/>
      <c r="H165" s="80"/>
      <c r="I165" s="79"/>
      <c r="J165" s="79"/>
    </row>
    <row r="166" spans="6:10" x14ac:dyDescent="0.25">
      <c r="F166" s="80"/>
      <c r="G166" s="80"/>
      <c r="H166" s="80"/>
      <c r="I166" s="79"/>
      <c r="J166" s="79"/>
    </row>
    <row r="167" spans="6:10" x14ac:dyDescent="0.25">
      <c r="F167" s="80"/>
      <c r="G167" s="80"/>
      <c r="H167" s="80"/>
      <c r="I167" s="79"/>
      <c r="J167" s="7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32"/>
  <sheetViews>
    <sheetView workbookViewId="0">
      <selection activeCell="K4" sqref="K4"/>
    </sheetView>
  </sheetViews>
  <sheetFormatPr defaultRowHeight="15" x14ac:dyDescent="0.25"/>
  <cols>
    <col min="7" max="7" width="9.140625" customWidth="1"/>
  </cols>
  <sheetData>
    <row r="2" spans="3:14" x14ac:dyDescent="0.25">
      <c r="C2" s="97" t="s">
        <v>319</v>
      </c>
      <c r="E2" s="97" t="s">
        <v>318</v>
      </c>
      <c r="G2" s="97" t="s">
        <v>317</v>
      </c>
      <c r="I2" s="97" t="s">
        <v>316</v>
      </c>
      <c r="K2" s="97" t="s">
        <v>315</v>
      </c>
      <c r="N2" t="s">
        <v>396</v>
      </c>
    </row>
    <row r="3" spans="3:14" x14ac:dyDescent="0.25">
      <c r="C3">
        <v>0</v>
      </c>
      <c r="E3" t="s">
        <v>60</v>
      </c>
      <c r="G3" s="126"/>
      <c r="I3" s="126"/>
      <c r="K3" t="s">
        <v>60</v>
      </c>
      <c r="N3" t="s">
        <v>397</v>
      </c>
    </row>
    <row r="4" spans="3:14" x14ac:dyDescent="0.25">
      <c r="C4">
        <v>1</v>
      </c>
      <c r="E4" t="s">
        <v>464</v>
      </c>
      <c r="G4" s="126" t="s">
        <v>173</v>
      </c>
      <c r="I4" s="126">
        <v>4.0999999999999996</v>
      </c>
      <c r="K4" t="s">
        <v>464</v>
      </c>
      <c r="N4" t="s">
        <v>398</v>
      </c>
    </row>
    <row r="5" spans="3:14" x14ac:dyDescent="0.25">
      <c r="C5">
        <v>2</v>
      </c>
      <c r="G5" s="126" t="s">
        <v>174</v>
      </c>
      <c r="I5" s="126">
        <v>4.2</v>
      </c>
    </row>
    <row r="6" spans="3:14" x14ac:dyDescent="0.25">
      <c r="C6">
        <v>3</v>
      </c>
      <c r="G6" s="126" t="s">
        <v>175</v>
      </c>
      <c r="I6" s="126">
        <v>4.3</v>
      </c>
    </row>
    <row r="7" spans="3:14" x14ac:dyDescent="0.25">
      <c r="C7">
        <v>4</v>
      </c>
      <c r="G7" s="126" t="s">
        <v>176</v>
      </c>
      <c r="I7" s="126">
        <v>4.4000000000000004</v>
      </c>
    </row>
    <row r="8" spans="3:14" x14ac:dyDescent="0.25">
      <c r="C8">
        <v>5</v>
      </c>
      <c r="G8" s="126" t="s">
        <v>177</v>
      </c>
      <c r="I8" s="126">
        <v>5.0999999999999996</v>
      </c>
    </row>
    <row r="9" spans="3:14" x14ac:dyDescent="0.25">
      <c r="C9">
        <v>6</v>
      </c>
      <c r="G9" s="126" t="s">
        <v>178</v>
      </c>
      <c r="I9" s="126">
        <v>5.2</v>
      </c>
    </row>
    <row r="10" spans="3:14" x14ac:dyDescent="0.25">
      <c r="C10">
        <v>7</v>
      </c>
      <c r="G10" s="126" t="s">
        <v>179</v>
      </c>
      <c r="I10" s="126">
        <v>5.3</v>
      </c>
    </row>
    <row r="11" spans="3:14" x14ac:dyDescent="0.25">
      <c r="C11">
        <v>8</v>
      </c>
      <c r="G11" s="126" t="s">
        <v>180</v>
      </c>
      <c r="I11" s="126">
        <v>5.4</v>
      </c>
    </row>
    <row r="12" spans="3:14" x14ac:dyDescent="0.25">
      <c r="C12">
        <v>9</v>
      </c>
      <c r="G12" s="126" t="s">
        <v>181</v>
      </c>
      <c r="I12" s="126">
        <v>6.1</v>
      </c>
    </row>
    <row r="13" spans="3:14" x14ac:dyDescent="0.25">
      <c r="C13">
        <v>10</v>
      </c>
      <c r="G13" s="126" t="s">
        <v>182</v>
      </c>
      <c r="I13" s="126">
        <v>6.2</v>
      </c>
    </row>
    <row r="14" spans="3:14" x14ac:dyDescent="0.25">
      <c r="C14">
        <v>11</v>
      </c>
      <c r="G14" s="126" t="s">
        <v>183</v>
      </c>
      <c r="I14" s="126">
        <v>6.3</v>
      </c>
    </row>
    <row r="15" spans="3:14" x14ac:dyDescent="0.25">
      <c r="C15">
        <v>12</v>
      </c>
      <c r="G15" s="126" t="s">
        <v>184</v>
      </c>
      <c r="I15" s="126">
        <v>6.4</v>
      </c>
    </row>
    <row r="16" spans="3:14" x14ac:dyDescent="0.25">
      <c r="C16">
        <v>13</v>
      </c>
      <c r="G16" s="126" t="s">
        <v>185</v>
      </c>
      <c r="I16" s="126">
        <v>7.1</v>
      </c>
    </row>
    <row r="17" spans="3:9" x14ac:dyDescent="0.25">
      <c r="C17">
        <v>14</v>
      </c>
      <c r="G17" s="126" t="s">
        <v>186</v>
      </c>
      <c r="I17" s="126">
        <v>7.2</v>
      </c>
    </row>
    <row r="18" spans="3:9" x14ac:dyDescent="0.25">
      <c r="C18">
        <v>15</v>
      </c>
      <c r="G18" s="126" t="s">
        <v>187</v>
      </c>
      <c r="I18" s="126">
        <v>7.3</v>
      </c>
    </row>
    <row r="19" spans="3:9" x14ac:dyDescent="0.25">
      <c r="G19" s="126" t="s">
        <v>188</v>
      </c>
      <c r="I19" s="126">
        <v>7.4</v>
      </c>
    </row>
    <row r="20" spans="3:9" x14ac:dyDescent="0.25">
      <c r="G20" s="126" t="s">
        <v>189</v>
      </c>
      <c r="I20" s="126">
        <v>8.1</v>
      </c>
    </row>
    <row r="21" spans="3:9" x14ac:dyDescent="0.25">
      <c r="G21" s="126" t="s">
        <v>190</v>
      </c>
      <c r="I21" s="126">
        <v>8.1999999999999993</v>
      </c>
    </row>
    <row r="22" spans="3:9" x14ac:dyDescent="0.25">
      <c r="G22" s="126" t="s">
        <v>191</v>
      </c>
      <c r="I22" s="126">
        <v>8.3000000000000007</v>
      </c>
    </row>
    <row r="23" spans="3:9" x14ac:dyDescent="0.25">
      <c r="G23" s="126" t="s">
        <v>192</v>
      </c>
      <c r="I23" s="126">
        <v>8.4</v>
      </c>
    </row>
    <row r="24" spans="3:9" x14ac:dyDescent="0.25">
      <c r="G24" s="126" t="s">
        <v>193</v>
      </c>
      <c r="I24" s="126">
        <v>8.5</v>
      </c>
    </row>
    <row r="25" spans="3:9" x14ac:dyDescent="0.25">
      <c r="G25" s="126" t="s">
        <v>194</v>
      </c>
      <c r="I25" s="126">
        <v>9.1</v>
      </c>
    </row>
    <row r="26" spans="3:9" x14ac:dyDescent="0.25">
      <c r="G26" s="126" t="s">
        <v>195</v>
      </c>
      <c r="I26" s="126">
        <v>9.1999999999999993</v>
      </c>
    </row>
    <row r="27" spans="3:9" x14ac:dyDescent="0.25">
      <c r="G27" s="126" t="s">
        <v>196</v>
      </c>
      <c r="I27" s="126">
        <v>9.3000000000000007</v>
      </c>
    </row>
    <row r="28" spans="3:9" x14ac:dyDescent="0.25">
      <c r="G28" s="126" t="s">
        <v>197</v>
      </c>
      <c r="I28" s="126">
        <v>10.1</v>
      </c>
    </row>
    <row r="29" spans="3:9" x14ac:dyDescent="0.25">
      <c r="G29" s="126"/>
      <c r="I29" s="126">
        <v>10.199999999999999</v>
      </c>
    </row>
    <row r="30" spans="3:9" x14ac:dyDescent="0.25">
      <c r="G30" s="126"/>
      <c r="I30" s="126">
        <v>10.3</v>
      </c>
    </row>
    <row r="31" spans="3:9" x14ac:dyDescent="0.25">
      <c r="I31" t="s">
        <v>394</v>
      </c>
    </row>
    <row r="32" spans="3:9" x14ac:dyDescent="0.25">
      <c r="I32" t="s">
        <v>395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showGridLines="0" showRowColHeaders="0" zoomScaleNormal="100" workbookViewId="0">
      <pane ySplit="4" topLeftCell="A5" activePane="bottomLeft" state="frozen"/>
      <selection activeCell="E37" sqref="E37"/>
      <selection pane="bottomLeft" activeCell="AA1" sqref="AA1"/>
    </sheetView>
  </sheetViews>
  <sheetFormatPr defaultRowHeight="15" x14ac:dyDescent="0.25"/>
  <cols>
    <col min="1" max="1" width="1" customWidth="1"/>
    <col min="2" max="2" width="6.7109375" customWidth="1"/>
    <col min="3" max="3" width="8.85546875" customWidth="1"/>
    <col min="4" max="4" width="40.42578125" customWidth="1"/>
    <col min="5" max="5" width="5.42578125" customWidth="1"/>
    <col min="6" max="6" width="12.42578125" customWidth="1"/>
    <col min="7" max="7" width="8" customWidth="1"/>
    <col min="8" max="8" width="3" customWidth="1"/>
    <col min="9" max="9" width="5.85546875" customWidth="1"/>
    <col min="10" max="10" width="6.42578125" customWidth="1"/>
    <col min="11" max="11" width="36.28515625" customWidth="1"/>
    <col min="12" max="12" width="6.28515625" customWidth="1"/>
    <col min="13" max="13" width="10.5703125" bestFit="1" customWidth="1"/>
    <col min="14" max="15" width="8.28515625" customWidth="1"/>
  </cols>
  <sheetData>
    <row r="1" spans="1:21" ht="4.5" customHeight="1" x14ac:dyDescent="0.25"/>
    <row r="2" spans="1:21" ht="3.75" customHeight="1" thickBot="1" x14ac:dyDescent="0.3"/>
    <row r="3" spans="1:21" ht="23.25" customHeight="1" x14ac:dyDescent="0.25">
      <c r="A3" s="16"/>
      <c r="B3" s="409" t="s">
        <v>41</v>
      </c>
      <c r="C3" s="410"/>
      <c r="D3" s="410"/>
      <c r="E3" s="410"/>
      <c r="F3" s="411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15" customHeight="1" thickBot="1" x14ac:dyDescent="0.3">
      <c r="A4" s="16"/>
      <c r="B4" s="412"/>
      <c r="C4" s="413"/>
      <c r="D4" s="413"/>
      <c r="E4" s="413"/>
      <c r="F4" s="414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</row>
    <row r="5" spans="1:21" s="35" customFormat="1" ht="21.75" customHeight="1" x14ac:dyDescent="0.25">
      <c r="A5" s="36"/>
      <c r="B5" s="421" t="s">
        <v>40</v>
      </c>
      <c r="C5" s="422"/>
      <c r="D5" s="423"/>
      <c r="E5" s="424"/>
      <c r="F5" s="425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</row>
    <row r="6" spans="1:21" s="35" customFormat="1" ht="21.75" customHeight="1" x14ac:dyDescent="0.25">
      <c r="A6" s="36"/>
      <c r="B6" s="426" t="s">
        <v>341</v>
      </c>
      <c r="C6" s="427"/>
      <c r="D6" s="428"/>
      <c r="E6" s="429"/>
      <c r="F6" s="430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</row>
    <row r="7" spans="1:21" ht="34.5" customHeight="1" x14ac:dyDescent="0.25">
      <c r="A7" s="16"/>
      <c r="B7" s="419" t="s">
        <v>342</v>
      </c>
      <c r="C7" s="431"/>
      <c r="D7" s="432"/>
      <c r="E7" s="433"/>
      <c r="F7" s="434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</row>
    <row r="8" spans="1:21" s="14" customFormat="1" ht="15" customHeight="1" x14ac:dyDescent="0.25">
      <c r="A8" s="54"/>
      <c r="B8" s="419" t="s">
        <v>383</v>
      </c>
      <c r="C8" s="420"/>
      <c r="D8" s="443" t="s">
        <v>386</v>
      </c>
      <c r="E8" s="444"/>
      <c r="F8" s="445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</row>
    <row r="9" spans="1:21" s="14" customFormat="1" ht="15" customHeight="1" x14ac:dyDescent="0.25">
      <c r="A9" s="54"/>
      <c r="B9" s="419" t="s">
        <v>384</v>
      </c>
      <c r="C9" s="420"/>
      <c r="D9" s="437"/>
      <c r="E9" s="438"/>
      <c r="F9" s="439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</row>
    <row r="10" spans="1:21" s="14" customFormat="1" ht="15" customHeight="1" x14ac:dyDescent="0.25">
      <c r="A10" s="54"/>
      <c r="B10" s="419" t="s">
        <v>385</v>
      </c>
      <c r="C10" s="420"/>
      <c r="D10" s="440"/>
      <c r="E10" s="441"/>
      <c r="F10" s="442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</row>
    <row r="11" spans="1:21" x14ac:dyDescent="0.25">
      <c r="A11" s="16"/>
      <c r="B11" s="53"/>
      <c r="C11" s="333" t="s">
        <v>39</v>
      </c>
      <c r="D11" s="334"/>
      <c r="E11" s="334"/>
      <c r="F11" s="334"/>
      <c r="G11" s="16"/>
      <c r="N11" s="16"/>
      <c r="O11" s="16"/>
      <c r="P11" s="16"/>
      <c r="Q11" s="16"/>
      <c r="R11" s="16"/>
      <c r="S11" s="16"/>
      <c r="T11" s="16"/>
      <c r="U11" s="16"/>
    </row>
    <row r="12" spans="1:21" x14ac:dyDescent="0.25">
      <c r="A12" s="16"/>
      <c r="B12" s="30"/>
      <c r="C12" s="52"/>
      <c r="D12" s="176" t="s">
        <v>38</v>
      </c>
      <c r="E12" s="51"/>
      <c r="F12" s="50">
        <f>'Budgeted Staff Costs'!G13</f>
        <v>0</v>
      </c>
      <c r="G12" s="16"/>
      <c r="N12" s="16"/>
      <c r="O12" s="16"/>
      <c r="P12" s="16"/>
      <c r="Q12" s="16"/>
      <c r="R12" s="16"/>
      <c r="S12" s="16"/>
      <c r="T12" s="16"/>
      <c r="U12" s="16"/>
    </row>
    <row r="13" spans="1:21" x14ac:dyDescent="0.25">
      <c r="A13" s="16"/>
      <c r="B13" s="30"/>
      <c r="C13" s="52"/>
      <c r="D13" s="176" t="s">
        <v>37</v>
      </c>
      <c r="E13" s="51"/>
      <c r="F13" s="50">
        <f>'Budgeted Staff Costs'!G22</f>
        <v>0</v>
      </c>
      <c r="G13" s="16"/>
      <c r="N13" s="16"/>
      <c r="O13" s="16"/>
      <c r="P13" s="16"/>
      <c r="Q13" s="16"/>
      <c r="R13" s="16"/>
      <c r="S13" s="16"/>
      <c r="T13" s="16"/>
      <c r="U13" s="16"/>
    </row>
    <row r="14" spans="1:21" x14ac:dyDescent="0.25">
      <c r="A14" s="16"/>
      <c r="B14" s="30"/>
      <c r="C14" s="52"/>
      <c r="D14" s="176" t="s">
        <v>460</v>
      </c>
      <c r="E14" s="51"/>
      <c r="F14" s="50">
        <f>'Budgeted Staff Costs'!G28</f>
        <v>0</v>
      </c>
      <c r="G14" s="16"/>
      <c r="N14" s="16"/>
      <c r="O14" s="16"/>
      <c r="P14" s="16"/>
      <c r="Q14" s="16"/>
      <c r="R14" s="16"/>
      <c r="S14" s="16"/>
      <c r="T14" s="16"/>
      <c r="U14" s="16"/>
    </row>
    <row r="15" spans="1:21" x14ac:dyDescent="0.25">
      <c r="A15" s="16"/>
      <c r="B15" s="30"/>
      <c r="C15" s="336" t="s">
        <v>36</v>
      </c>
      <c r="D15" s="337"/>
      <c r="E15" s="338"/>
      <c r="F15" s="339">
        <f>SUBTOTAL(9,F12:F14)</f>
        <v>0</v>
      </c>
      <c r="G15" s="16"/>
      <c r="N15" s="16"/>
      <c r="O15" s="16"/>
      <c r="P15" s="16"/>
      <c r="Q15" s="16"/>
      <c r="R15" s="16"/>
      <c r="S15" s="16"/>
      <c r="T15" s="16"/>
      <c r="U15" s="16"/>
    </row>
    <row r="16" spans="1:21" ht="8.25" customHeight="1" x14ac:dyDescent="0.25">
      <c r="A16" s="16"/>
      <c r="B16" s="30"/>
      <c r="C16" s="30"/>
      <c r="D16" s="24"/>
      <c r="E16" s="24"/>
      <c r="F16" s="24"/>
      <c r="G16" s="16"/>
      <c r="N16" s="16"/>
      <c r="O16" s="16"/>
      <c r="P16" s="16"/>
      <c r="Q16" s="16"/>
      <c r="R16" s="16"/>
      <c r="S16" s="16"/>
      <c r="T16" s="16"/>
      <c r="U16" s="16"/>
    </row>
    <row r="17" spans="1:21" x14ac:dyDescent="0.25">
      <c r="A17" s="16"/>
      <c r="B17" s="30"/>
      <c r="C17" s="417" t="s">
        <v>11</v>
      </c>
      <c r="D17" s="418"/>
      <c r="E17" s="334"/>
      <c r="F17" s="334"/>
      <c r="G17" s="16"/>
      <c r="N17" s="16"/>
      <c r="O17" s="16"/>
      <c r="P17" s="16"/>
      <c r="Q17" s="16"/>
      <c r="R17" s="16"/>
      <c r="S17" s="16"/>
      <c r="T17" s="16"/>
      <c r="U17" s="16"/>
    </row>
    <row r="18" spans="1:21" x14ac:dyDescent="0.25">
      <c r="A18" s="16"/>
      <c r="B18" s="30"/>
      <c r="C18" s="30"/>
      <c r="D18" s="49" t="s">
        <v>35</v>
      </c>
      <c r="E18" s="48"/>
      <c r="F18" s="50">
        <f>'Non-Salary Expenses'!E16</f>
        <v>0</v>
      </c>
      <c r="G18" s="16"/>
      <c r="N18" s="16"/>
      <c r="O18" s="16"/>
      <c r="P18" s="16"/>
      <c r="Q18" s="16"/>
      <c r="R18" s="16"/>
      <c r="S18" s="16"/>
      <c r="T18" s="16"/>
      <c r="U18" s="16"/>
    </row>
    <row r="19" spans="1:21" x14ac:dyDescent="0.25">
      <c r="A19" s="16"/>
      <c r="B19" s="30"/>
      <c r="C19" s="30"/>
      <c r="D19" s="47" t="s">
        <v>34</v>
      </c>
      <c r="E19" s="46"/>
      <c r="F19" s="50">
        <f>'Non-Salary Expenses'!H41</f>
        <v>0</v>
      </c>
      <c r="G19" s="16"/>
      <c r="N19" s="16"/>
      <c r="O19" s="16"/>
      <c r="P19" s="16"/>
      <c r="Q19" s="16"/>
      <c r="R19" s="16"/>
      <c r="S19" s="16"/>
      <c r="T19" s="16"/>
      <c r="U19" s="16"/>
    </row>
    <row r="20" spans="1:21" x14ac:dyDescent="0.25">
      <c r="A20" s="16"/>
      <c r="B20" s="30"/>
      <c r="C20" s="30"/>
      <c r="D20" s="47" t="s">
        <v>33</v>
      </c>
      <c r="E20" s="46"/>
      <c r="F20" s="50">
        <f>'Non-Salary Expenses'!K37</f>
        <v>0</v>
      </c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</row>
    <row r="21" spans="1:21" x14ac:dyDescent="0.25">
      <c r="A21" s="16"/>
      <c r="B21" s="30"/>
      <c r="C21" s="30"/>
      <c r="D21" s="47" t="s">
        <v>32</v>
      </c>
      <c r="E21" s="46"/>
      <c r="F21" s="50">
        <f>'Non-Salary Expenses'!N8</f>
        <v>0</v>
      </c>
      <c r="G21" s="16"/>
      <c r="H21" s="16"/>
      <c r="N21" s="16"/>
      <c r="O21" s="16"/>
      <c r="P21" s="16"/>
      <c r="Q21" s="16"/>
      <c r="R21" s="16"/>
      <c r="S21" s="16"/>
      <c r="T21" s="16"/>
      <c r="U21" s="16"/>
    </row>
    <row r="22" spans="1:21" x14ac:dyDescent="0.25">
      <c r="A22" s="16"/>
      <c r="B22" s="30"/>
      <c r="C22" s="30"/>
      <c r="D22" s="47" t="s">
        <v>31</v>
      </c>
      <c r="E22" s="46"/>
      <c r="F22" s="50">
        <f>'Non-Salary Expenses'!Q15</f>
        <v>0</v>
      </c>
      <c r="G22" s="16"/>
      <c r="H22" s="16"/>
      <c r="I22" s="343" t="s">
        <v>327</v>
      </c>
      <c r="J22" s="344"/>
      <c r="K22" s="344"/>
      <c r="L22" s="344"/>
      <c r="M22" s="345"/>
      <c r="N22" s="16"/>
      <c r="O22" s="16"/>
      <c r="P22" s="16"/>
      <c r="Q22" s="16"/>
      <c r="R22" s="16"/>
      <c r="S22" s="16"/>
      <c r="T22" s="16"/>
      <c r="U22" s="16"/>
    </row>
    <row r="23" spans="1:21" x14ac:dyDescent="0.25">
      <c r="A23" s="16"/>
      <c r="B23" s="30"/>
      <c r="C23" s="30"/>
      <c r="D23" s="47" t="s">
        <v>30</v>
      </c>
      <c r="E23" s="46"/>
      <c r="F23" s="50">
        <f>'Non-Salary Expenses'!T10</f>
        <v>0</v>
      </c>
      <c r="G23" s="16"/>
      <c r="H23" s="16"/>
      <c r="I23" s="333" t="s">
        <v>399</v>
      </c>
      <c r="J23" s="346"/>
      <c r="K23" s="346"/>
      <c r="L23" s="334"/>
      <c r="M23" s="347"/>
      <c r="N23" s="16"/>
      <c r="O23" s="16"/>
      <c r="P23" s="16"/>
      <c r="Q23" s="16"/>
      <c r="R23" s="16"/>
      <c r="S23" s="16"/>
      <c r="T23" s="16"/>
      <c r="U23" s="16"/>
    </row>
    <row r="24" spans="1:21" x14ac:dyDescent="0.25">
      <c r="A24" s="16"/>
      <c r="B24" s="30"/>
      <c r="C24" s="30"/>
      <c r="D24" s="47" t="s">
        <v>29</v>
      </c>
      <c r="E24" s="46"/>
      <c r="F24" s="282"/>
      <c r="G24" s="16"/>
      <c r="H24" s="16"/>
      <c r="I24" s="237"/>
      <c r="J24" s="173" t="s">
        <v>400</v>
      </c>
      <c r="K24" s="240"/>
      <c r="L24" s="454" t="s">
        <v>397</v>
      </c>
      <c r="M24" s="435"/>
      <c r="N24" s="16"/>
      <c r="O24" s="16"/>
      <c r="P24" s="16"/>
      <c r="Q24" s="16"/>
      <c r="R24" s="16"/>
      <c r="S24" s="16"/>
      <c r="T24" s="16"/>
      <c r="U24" s="16"/>
    </row>
    <row r="25" spans="1:21" x14ac:dyDescent="0.25">
      <c r="A25" s="16"/>
      <c r="B25" s="30"/>
      <c r="C25" s="30"/>
      <c r="D25" s="47" t="s">
        <v>354</v>
      </c>
      <c r="E25" s="46"/>
      <c r="F25" s="283">
        <v>0</v>
      </c>
      <c r="G25" s="16"/>
      <c r="H25" s="16"/>
      <c r="I25" s="231"/>
      <c r="J25" s="241" t="s">
        <v>401</v>
      </c>
      <c r="K25" s="129"/>
      <c r="L25" s="455"/>
      <c r="M25" s="436"/>
      <c r="N25" s="16"/>
      <c r="O25" s="16"/>
      <c r="P25" s="16"/>
      <c r="Q25" s="16"/>
      <c r="R25" s="16"/>
      <c r="S25" s="16"/>
      <c r="T25" s="16"/>
      <c r="U25" s="16"/>
    </row>
    <row r="26" spans="1:21" ht="15" customHeight="1" x14ac:dyDescent="0.25">
      <c r="A26" s="16"/>
      <c r="B26" s="30"/>
      <c r="C26" s="336" t="s">
        <v>28</v>
      </c>
      <c r="D26" s="337"/>
      <c r="E26" s="338"/>
      <c r="F26" s="339">
        <f>SUBTOTAL(9,F18:F25)</f>
        <v>0</v>
      </c>
      <c r="G26" s="16"/>
      <c r="H26" s="16"/>
      <c r="I26" s="231"/>
      <c r="J26" s="238" t="s">
        <v>25</v>
      </c>
      <c r="K26" s="41"/>
      <c r="L26" s="232">
        <v>0.5</v>
      </c>
      <c r="M26" s="233">
        <f>IF(L24="NO",0,($F$30/75*25*L26))</f>
        <v>0</v>
      </c>
      <c r="N26" s="16"/>
      <c r="O26" s="16"/>
      <c r="P26" s="16"/>
      <c r="Q26" s="16"/>
      <c r="R26" s="16"/>
      <c r="S26" s="16"/>
      <c r="T26" s="16"/>
      <c r="U26" s="16"/>
    </row>
    <row r="27" spans="1:21" ht="15" customHeight="1" x14ac:dyDescent="0.25">
      <c r="A27" s="16"/>
      <c r="B27" s="30"/>
      <c r="C27" s="329" t="s">
        <v>26</v>
      </c>
      <c r="D27" s="348"/>
      <c r="E27" s="348"/>
      <c r="F27" s="349">
        <f>SUBTOTAL(9,F12:F26)</f>
        <v>0</v>
      </c>
      <c r="G27" s="16"/>
      <c r="H27" s="16"/>
      <c r="I27" s="231"/>
      <c r="J27" s="239" t="s">
        <v>24</v>
      </c>
      <c r="K27" s="40"/>
      <c r="L27" s="234">
        <f>100%-L26</f>
        <v>0.5</v>
      </c>
      <c r="M27" s="235">
        <f>IF(L24="NO",0,($F$30/75*25*$L$27))</f>
        <v>0</v>
      </c>
      <c r="N27" s="16"/>
      <c r="O27" s="16"/>
      <c r="P27" s="16"/>
      <c r="Q27" s="16"/>
      <c r="R27" s="16"/>
      <c r="S27" s="16"/>
      <c r="T27" s="16"/>
      <c r="U27" s="16"/>
    </row>
    <row r="28" spans="1:21" ht="15" customHeight="1" x14ac:dyDescent="0.25">
      <c r="A28" s="16"/>
      <c r="B28" s="30"/>
      <c r="C28" s="45"/>
      <c r="D28" s="44"/>
      <c r="E28" s="44"/>
      <c r="F28" s="43"/>
      <c r="G28" s="16"/>
      <c r="H28" s="57"/>
      <c r="I28" s="236"/>
      <c r="J28" s="354" t="s">
        <v>23</v>
      </c>
      <c r="K28" s="354"/>
      <c r="L28" s="355">
        <f>IF(L24="NO",0,(SUM(L26:L27)))</f>
        <v>1</v>
      </c>
      <c r="M28" s="356">
        <f>SUBTOTAL(9,M26:M27)</f>
        <v>0</v>
      </c>
      <c r="N28" s="16"/>
      <c r="O28" s="16"/>
      <c r="P28" s="16"/>
      <c r="Q28" s="16"/>
      <c r="R28" s="16"/>
      <c r="S28" s="16"/>
      <c r="T28" s="16"/>
      <c r="U28" s="16"/>
    </row>
    <row r="29" spans="1:21" ht="15" customHeight="1" x14ac:dyDescent="0.25">
      <c r="A29" s="16"/>
      <c r="B29" s="30"/>
      <c r="C29" s="333" t="s">
        <v>343</v>
      </c>
      <c r="D29" s="334"/>
      <c r="E29" s="334"/>
      <c r="F29" s="335"/>
      <c r="G29" s="27"/>
      <c r="H29" s="37"/>
      <c r="I29" s="446" t="s">
        <v>21</v>
      </c>
      <c r="J29" s="447"/>
      <c r="K29" s="447"/>
      <c r="L29" s="448"/>
      <c r="M29" s="32">
        <f>IF(L24="NO",F30,(F30/75*50))</f>
        <v>0</v>
      </c>
      <c r="N29" s="16"/>
      <c r="O29" s="16"/>
      <c r="P29" s="16"/>
      <c r="Q29" s="16"/>
      <c r="R29" s="16"/>
      <c r="S29" s="16"/>
      <c r="T29" s="16"/>
      <c r="U29" s="16"/>
    </row>
    <row r="30" spans="1:21" s="35" customFormat="1" ht="29.25" customHeight="1" x14ac:dyDescent="0.25">
      <c r="A30" s="36"/>
      <c r="B30" s="30"/>
      <c r="C30" s="30"/>
      <c r="D30" s="39" t="s">
        <v>357</v>
      </c>
      <c r="E30" s="284">
        <f>IFERROR(F30/((F27+F30+((F27+F30)/85*15))),0)</f>
        <v>0</v>
      </c>
      <c r="F30" s="177">
        <v>0</v>
      </c>
      <c r="G30" s="38"/>
      <c r="H30" s="37"/>
      <c r="I30" s="351" t="s">
        <v>345</v>
      </c>
      <c r="J30" s="357"/>
      <c r="K30" s="357"/>
      <c r="L30" s="353"/>
      <c r="M30" s="358">
        <f>SUBTOTAL(9,M26:M29)</f>
        <v>0</v>
      </c>
      <c r="N30" s="36"/>
      <c r="O30" s="171"/>
      <c r="P30" s="36"/>
      <c r="Q30" s="36"/>
      <c r="R30" s="36"/>
      <c r="S30" s="36"/>
      <c r="T30" s="36"/>
      <c r="U30" s="36"/>
    </row>
    <row r="31" spans="1:21" ht="30" customHeight="1" x14ac:dyDescent="0.25">
      <c r="A31" s="16"/>
      <c r="B31" s="30"/>
      <c r="C31" s="30"/>
      <c r="D31" s="34" t="s">
        <v>22</v>
      </c>
      <c r="E31" s="285">
        <v>0.15</v>
      </c>
      <c r="F31" s="33">
        <f>IFERROR($F$27/(100-(SUM($E$30:$E$31)*100))*(E31*100),0)</f>
        <v>0</v>
      </c>
      <c r="G31" s="31"/>
      <c r="H31" s="25"/>
      <c r="I31" s="446" t="s">
        <v>27</v>
      </c>
      <c r="J31" s="447"/>
      <c r="K31" s="447"/>
      <c r="L31" s="448"/>
      <c r="M31" s="130">
        <f>F31</f>
        <v>0</v>
      </c>
      <c r="N31" s="16"/>
      <c r="O31" s="172"/>
      <c r="P31" s="16"/>
      <c r="Q31" s="16"/>
      <c r="R31" s="16"/>
      <c r="S31" s="16"/>
      <c r="T31" s="16"/>
      <c r="U31" s="16"/>
    </row>
    <row r="32" spans="1:21" ht="22.5" customHeight="1" x14ac:dyDescent="0.25">
      <c r="A32" s="16"/>
      <c r="B32" s="30"/>
      <c r="C32" s="30"/>
      <c r="D32" s="351" t="s">
        <v>344</v>
      </c>
      <c r="E32" s="352"/>
      <c r="F32" s="353">
        <f>SUBTOTAL(9,F30:F31)</f>
        <v>0</v>
      </c>
      <c r="G32" s="31"/>
      <c r="H32" s="25"/>
      <c r="I32" s="336" t="s">
        <v>20</v>
      </c>
      <c r="J32" s="338"/>
      <c r="K32" s="338"/>
      <c r="L32" s="341"/>
      <c r="M32" s="342">
        <f>M31+M26+M27+M29</f>
        <v>0</v>
      </c>
      <c r="N32" s="16"/>
      <c r="O32" s="16"/>
      <c r="P32" s="16"/>
      <c r="Q32" s="16"/>
      <c r="R32" s="16"/>
      <c r="S32" s="16"/>
      <c r="T32" s="16"/>
      <c r="U32" s="16"/>
    </row>
    <row r="33" spans="1:21" x14ac:dyDescent="0.25">
      <c r="A33" s="16"/>
      <c r="B33" s="30"/>
      <c r="C33" s="336" t="s">
        <v>19</v>
      </c>
      <c r="D33" s="337"/>
      <c r="E33" s="340"/>
      <c r="F33" s="339">
        <f>SUBTOTAL(9,F12:F32)</f>
        <v>0</v>
      </c>
      <c r="G33" s="27"/>
      <c r="H33" s="25"/>
      <c r="N33" s="16"/>
      <c r="O33" s="16"/>
      <c r="P33" s="16"/>
      <c r="Q33" s="16"/>
      <c r="R33" s="16"/>
      <c r="S33" s="16"/>
      <c r="T33" s="16"/>
      <c r="U33" s="16"/>
    </row>
    <row r="34" spans="1:21" ht="15" customHeight="1" x14ac:dyDescent="0.25">
      <c r="A34" s="16"/>
      <c r="B34" s="30"/>
      <c r="C34" s="30"/>
      <c r="D34" s="29" t="s">
        <v>18</v>
      </c>
      <c r="E34" s="286">
        <v>0.1</v>
      </c>
      <c r="F34" s="28">
        <f>SUM(F27+F30+F31)*1.1/11</f>
        <v>0</v>
      </c>
      <c r="G34" s="27"/>
      <c r="H34" s="25"/>
      <c r="N34" s="16"/>
      <c r="O34" s="16"/>
      <c r="P34" s="16"/>
      <c r="Q34" s="16"/>
      <c r="R34" s="16"/>
      <c r="S34" s="16"/>
      <c r="T34" s="16"/>
      <c r="U34" s="16"/>
    </row>
    <row r="35" spans="1:21" ht="23.25" customHeight="1" x14ac:dyDescent="0.25">
      <c r="A35" s="16"/>
      <c r="B35" s="329" t="s">
        <v>326</v>
      </c>
      <c r="C35" s="348"/>
      <c r="D35" s="348"/>
      <c r="E35" s="350"/>
      <c r="F35" s="349">
        <f>SUM(F33:F34)</f>
        <v>0</v>
      </c>
      <c r="G35" s="26"/>
      <c r="H35" s="25"/>
      <c r="N35" s="16"/>
      <c r="O35" s="16"/>
      <c r="P35" s="16"/>
      <c r="Q35" s="16"/>
      <c r="R35" s="16"/>
      <c r="S35" s="16"/>
      <c r="T35" s="16"/>
      <c r="U35" s="16"/>
    </row>
    <row r="36" spans="1:21" ht="7.5" customHeight="1" x14ac:dyDescent="0.25">
      <c r="A36" s="16"/>
      <c r="B36" s="24"/>
      <c r="C36" s="24"/>
      <c r="D36" s="24"/>
      <c r="E36" s="23"/>
      <c r="F36" s="23"/>
      <c r="G36" s="4"/>
      <c r="H36" s="4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ht="7.5" customHeight="1" x14ac:dyDescent="0.25">
      <c r="A37" s="16"/>
      <c r="B37" s="4"/>
      <c r="C37" s="22"/>
      <c r="D37" s="21"/>
      <c r="E37" s="21"/>
      <c r="F37" s="21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1" x14ac:dyDescent="0.25">
      <c r="A38" s="16"/>
      <c r="B38" s="449" t="s">
        <v>17</v>
      </c>
      <c r="C38" s="450"/>
      <c r="D38" s="450"/>
      <c r="E38" s="450"/>
      <c r="F38" s="451"/>
      <c r="G38" s="16"/>
      <c r="H38" s="16"/>
      <c r="N38" s="16"/>
      <c r="O38" s="16"/>
      <c r="P38" s="16"/>
      <c r="Q38" s="16"/>
      <c r="R38" s="16"/>
      <c r="S38" s="16"/>
      <c r="T38" s="16"/>
      <c r="U38" s="16"/>
    </row>
    <row r="39" spans="1:21" x14ac:dyDescent="0.25">
      <c r="A39" s="16"/>
      <c r="B39" s="20">
        <v>1</v>
      </c>
      <c r="C39" s="452"/>
      <c r="D39" s="452"/>
      <c r="E39" s="452"/>
      <c r="F39" s="453"/>
      <c r="G39" s="16"/>
      <c r="H39" s="16"/>
      <c r="N39" s="16"/>
      <c r="O39" s="16"/>
      <c r="P39" s="16"/>
      <c r="Q39" s="16"/>
      <c r="R39" s="16"/>
      <c r="S39" s="16"/>
      <c r="T39" s="16"/>
      <c r="U39" s="16"/>
    </row>
    <row r="40" spans="1:21" x14ac:dyDescent="0.25">
      <c r="A40" s="16"/>
      <c r="B40" s="18">
        <v>2</v>
      </c>
      <c r="C40" s="415"/>
      <c r="D40" s="415"/>
      <c r="E40" s="415"/>
      <c r="F40" s="4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5">
      <c r="A41" s="16"/>
      <c r="B41" s="18">
        <v>3</v>
      </c>
      <c r="C41" s="403"/>
      <c r="D41" s="403"/>
      <c r="E41" s="403"/>
      <c r="F41" s="404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5">
      <c r="A42" s="16"/>
      <c r="B42" s="18">
        <v>4</v>
      </c>
      <c r="C42" s="405"/>
      <c r="D42" s="405"/>
      <c r="E42" s="405"/>
      <c r="F42" s="406"/>
      <c r="G42" s="16"/>
      <c r="H42" s="4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5">
      <c r="A43" s="16"/>
      <c r="B43" s="18">
        <v>5</v>
      </c>
      <c r="C43" s="415"/>
      <c r="D43" s="415"/>
      <c r="E43" s="415"/>
      <c r="F43" s="4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5">
      <c r="A44" s="16"/>
      <c r="B44" s="18">
        <v>6</v>
      </c>
      <c r="C44" s="415"/>
      <c r="D44" s="415"/>
      <c r="E44" s="415"/>
      <c r="F44" s="4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5">
      <c r="A45" s="16"/>
      <c r="B45" s="18">
        <v>7</v>
      </c>
      <c r="C45" s="415"/>
      <c r="D45" s="415"/>
      <c r="E45" s="415"/>
      <c r="F45" s="4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5">
      <c r="A46" s="16"/>
      <c r="B46" s="19">
        <v>8</v>
      </c>
      <c r="C46" s="403"/>
      <c r="D46" s="403"/>
      <c r="E46" s="403"/>
      <c r="F46" s="404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5">
      <c r="A47" s="16"/>
      <c r="B47" s="18">
        <v>9</v>
      </c>
      <c r="C47" s="405"/>
      <c r="D47" s="405"/>
      <c r="E47" s="405"/>
      <c r="F47" s="40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5">
      <c r="A48" s="16"/>
      <c r="B48" s="17">
        <v>10</v>
      </c>
      <c r="C48" s="407"/>
      <c r="D48" s="407"/>
      <c r="E48" s="407"/>
      <c r="F48" s="408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</sheetData>
  <sheetProtection algorithmName="SHA-512" hashValue="3DtW0nYoBKOJppDNLVuuWnMtILBjM+3zgxda2ZgEQCFMtQ8czYsvgh4m1pculVlN1eye3qkPROUWbq5Kpip/2Q==" saltValue="qrwTFaDQFK9+WWHxgKY1AQ==" spinCount="100000" sheet="1" objects="1" scenarios="1"/>
  <mergeCells count="29">
    <mergeCell ref="I29:L29"/>
    <mergeCell ref="I31:L31"/>
    <mergeCell ref="B38:F38"/>
    <mergeCell ref="C39:F39"/>
    <mergeCell ref="L24:L25"/>
    <mergeCell ref="B6:C6"/>
    <mergeCell ref="D6:F6"/>
    <mergeCell ref="B7:C7"/>
    <mergeCell ref="D7:F7"/>
    <mergeCell ref="M24:M25"/>
    <mergeCell ref="D9:F9"/>
    <mergeCell ref="D10:F10"/>
    <mergeCell ref="D8:F8"/>
    <mergeCell ref="C46:F46"/>
    <mergeCell ref="C47:F47"/>
    <mergeCell ref="C48:F48"/>
    <mergeCell ref="B3:F4"/>
    <mergeCell ref="C40:F40"/>
    <mergeCell ref="C41:F41"/>
    <mergeCell ref="C42:F42"/>
    <mergeCell ref="C43:F43"/>
    <mergeCell ref="C44:F44"/>
    <mergeCell ref="C45:F45"/>
    <mergeCell ref="C17:D17"/>
    <mergeCell ref="B10:C10"/>
    <mergeCell ref="B9:C9"/>
    <mergeCell ref="B8:C8"/>
    <mergeCell ref="B5:C5"/>
    <mergeCell ref="D5:F5"/>
  </mergeCells>
  <hyperlinks>
    <hyperlink ref="D12" location="'Budgeted Staff Costs'!A1" display="Academic Total Cost"/>
    <hyperlink ref="D13" location="'Budgeted Staff Costs'!A1" display="General Total Cost"/>
    <hyperlink ref="C17:D17" location="'Non-Salary Expenses'!A1" display="Non-Salary Expenditure:"/>
    <hyperlink ref="D14" location="'Budgeted Staff Costs'!A1" display="General Total Cost"/>
  </hyperlinks>
  <pageMargins left="0.7" right="0.7" top="0.75" bottom="0.75" header="0.3" footer="0.3"/>
  <pageSetup paperSize="9" orientation="portrait" r:id="rId1"/>
  <colBreaks count="1" manualBreakCount="1">
    <brk id="7" min="2" max="44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Lists!$C$3:$C$18</xm:f>
          </x14:formula1>
          <xm:sqref>E36:F36</xm:sqref>
        </x14:dataValidation>
        <x14:dataValidation type="list" allowBlank="1" showInputMessage="1" showErrorMessage="1">
          <x14:formula1>
            <xm:f>Lists!$N$3:$N$4</xm:f>
          </x14:formula1>
          <xm:sqref>L24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showRowColHeaders="0" zoomScaleNormal="100" workbookViewId="0">
      <pane ySplit="3" topLeftCell="A4" activePane="bottomLeft" state="frozen"/>
      <selection pane="bottomLeft" activeCell="AA1" sqref="AA1"/>
    </sheetView>
  </sheetViews>
  <sheetFormatPr defaultRowHeight="15" x14ac:dyDescent="0.25"/>
  <cols>
    <col min="1" max="1" width="1.28515625" customWidth="1"/>
    <col min="2" max="2" width="19.5703125" customWidth="1"/>
    <col min="3" max="4" width="13" customWidth="1"/>
    <col min="5" max="5" width="11.42578125" customWidth="1"/>
    <col min="6" max="6" width="12.85546875" customWidth="1"/>
    <col min="7" max="7" width="14.5703125" style="88" customWidth="1"/>
    <col min="8" max="10" width="10.85546875" customWidth="1"/>
  </cols>
  <sheetData>
    <row r="1" spans="1:11" ht="4.5" customHeight="1" x14ac:dyDescent="0.25">
      <c r="B1" s="57"/>
      <c r="C1" s="57"/>
      <c r="D1" s="57"/>
      <c r="E1" s="57"/>
      <c r="F1" s="57"/>
      <c r="G1" s="202"/>
    </row>
    <row r="2" spans="1:11" ht="4.5" customHeight="1" thickBot="1" x14ac:dyDescent="0.3">
      <c r="B2" s="200"/>
      <c r="C2" s="200"/>
      <c r="D2" s="200"/>
      <c r="E2" s="200"/>
      <c r="F2" s="200"/>
      <c r="G2" s="201"/>
    </row>
    <row r="3" spans="1:11" ht="21" customHeight="1" thickBot="1" x14ac:dyDescent="0.3">
      <c r="B3" s="456" t="s">
        <v>489</v>
      </c>
      <c r="C3" s="457"/>
      <c r="D3" s="457"/>
      <c r="E3" s="457"/>
      <c r="F3" s="457"/>
      <c r="G3" s="458"/>
    </row>
    <row r="4" spans="1:11" ht="46.9" hidden="1" customHeight="1" thickBot="1" x14ac:dyDescent="0.3">
      <c r="B4" s="459" t="s">
        <v>475</v>
      </c>
      <c r="C4" s="457"/>
      <c r="D4" s="457"/>
      <c r="E4" s="457"/>
      <c r="F4" s="457"/>
      <c r="G4" s="458"/>
    </row>
    <row r="5" spans="1:11" s="35" customFormat="1" ht="30" hidden="1" customHeight="1" thickBot="1" x14ac:dyDescent="0.3">
      <c r="A5"/>
      <c r="B5" s="253" t="s">
        <v>410</v>
      </c>
      <c r="C5" s="254"/>
      <c r="D5" s="254"/>
      <c r="E5" s="254"/>
      <c r="F5" s="254"/>
      <c r="G5" s="255">
        <v>0</v>
      </c>
    </row>
    <row r="6" spans="1:11" x14ac:dyDescent="0.25">
      <c r="B6" s="359" t="s">
        <v>67</v>
      </c>
      <c r="C6" s="360"/>
      <c r="D6" s="360"/>
      <c r="E6" s="360"/>
      <c r="F6" s="360"/>
      <c r="G6" s="361"/>
    </row>
    <row r="7" spans="1:11" x14ac:dyDescent="0.25">
      <c r="B7" s="73"/>
      <c r="C7" s="179" t="s">
        <v>64</v>
      </c>
      <c r="D7" s="179" t="s">
        <v>64</v>
      </c>
      <c r="E7" s="179" t="s">
        <v>64</v>
      </c>
      <c r="F7" s="180" t="s">
        <v>64</v>
      </c>
      <c r="G7" s="251" t="s">
        <v>413</v>
      </c>
    </row>
    <row r="8" spans="1:11" x14ac:dyDescent="0.25">
      <c r="B8" s="70" t="s">
        <v>62</v>
      </c>
      <c r="C8" s="317"/>
      <c r="D8" s="317"/>
      <c r="E8" s="317"/>
      <c r="F8" s="317"/>
      <c r="G8" s="160"/>
      <c r="K8" s="178"/>
    </row>
    <row r="9" spans="1:11" x14ac:dyDescent="0.25">
      <c r="B9" s="72" t="s">
        <v>58</v>
      </c>
      <c r="C9" s="182"/>
      <c r="D9" s="182"/>
      <c r="E9" s="182"/>
      <c r="F9" s="182"/>
      <c r="G9" s="160"/>
    </row>
    <row r="10" spans="1:11" x14ac:dyDescent="0.25">
      <c r="B10" s="159" t="s">
        <v>364</v>
      </c>
      <c r="C10" s="157" t="str">
        <f>IF(ISERROR(IF(MID(C8,1,3)="Ful",VLOOKUP(C9,AcaFTPayRates,6,FALSE),VLOOKUP(C9,AcaFTPayRates,5,FALSE))),"",IF(MID(C8,1,3)="Ful",VLOOKUP(C9,AcaFTPayRates,6,FALSE),VLOOKUP(C9,AcaFTPayRates,5,FALSE)))</f>
        <v/>
      </c>
      <c r="D10" s="157" t="str">
        <f>IF(ISERROR(IF(MID(D8,1,3)="Ful",VLOOKUP(D9,AcaFTPayRates,6,FALSE),VLOOKUP(D9,AcaFTPayRates,5,FALSE))),"",IF(MID(D8,1,3)="Ful",VLOOKUP(D9,AcaFTPayRates,6,FALSE),VLOOKUP(D9,AcaFTPayRates,5,FALSE)))</f>
        <v/>
      </c>
      <c r="E10" s="157" t="str">
        <f>IF(ISERROR(IF(MID(E8,1,3)="Ful",VLOOKUP(E9,AcaFTPayRates,6,FALSE),VLOOKUP(E9,AcaFTPayRates,5,FALSE))),"",IF(MID(E8,1,3)="Ful",VLOOKUP(E9,AcaFTPayRates,6,FALSE),VLOOKUP(E9,AcaFTPayRates,5,FALSE)))</f>
        <v/>
      </c>
      <c r="F10" s="157" t="str">
        <f>IF(ISERROR(IF(MID(F8,1,3)="Ful",VLOOKUP(F9,AcaFTPayRates,6,FALSE),VLOOKUP(F9,AcaFTPayRates,5,FALSE))),"",IF(MID(F8,1,3)="Ful",VLOOKUP(F9,AcaFTPayRates,6,FALSE),VLOOKUP(F9,AcaFTPayRates,5,FALSE)))</f>
        <v/>
      </c>
      <c r="G10" s="160"/>
    </row>
    <row r="11" spans="1:11" x14ac:dyDescent="0.25">
      <c r="B11" s="159" t="s">
        <v>57</v>
      </c>
      <c r="C11" s="158" t="str">
        <f>IF(C10="","",C10/52.178571/37.5)</f>
        <v/>
      </c>
      <c r="D11" s="158" t="str">
        <f t="shared" ref="D11:F11" si="0">IF(D10="","",D10/52.178571/37.5)</f>
        <v/>
      </c>
      <c r="E11" s="158" t="str">
        <f t="shared" si="0"/>
        <v/>
      </c>
      <c r="F11" s="158" t="str">
        <f t="shared" si="0"/>
        <v/>
      </c>
      <c r="G11" s="160"/>
    </row>
    <row r="12" spans="1:11" x14ac:dyDescent="0.25">
      <c r="B12" s="69" t="s">
        <v>56</v>
      </c>
      <c r="C12" s="183"/>
      <c r="D12" s="184"/>
      <c r="E12" s="184"/>
      <c r="F12" s="184"/>
      <c r="G12" s="160"/>
    </row>
    <row r="13" spans="1:11" x14ac:dyDescent="0.25">
      <c r="B13" s="365" t="s">
        <v>66</v>
      </c>
      <c r="C13" s="366" t="str">
        <f>IF(C10="","",C11*C12)</f>
        <v/>
      </c>
      <c r="D13" s="367" t="str">
        <f>IF(D10="","",D11*D12)</f>
        <v/>
      </c>
      <c r="E13" s="367" t="str">
        <f>IF(E10="","",E11*E12)</f>
        <v/>
      </c>
      <c r="F13" s="368" t="str">
        <f>IF(F10="","",F11*F12)</f>
        <v/>
      </c>
      <c r="G13" s="369">
        <f>SUM(C13:F13)</f>
        <v>0</v>
      </c>
    </row>
    <row r="14" spans="1:11" ht="6" customHeight="1" x14ac:dyDescent="0.25">
      <c r="A14" s="57"/>
      <c r="B14" s="149"/>
      <c r="C14" s="67"/>
      <c r="D14" s="67"/>
      <c r="E14" s="67"/>
      <c r="F14" s="67"/>
      <c r="G14" s="252"/>
      <c r="H14" s="57"/>
    </row>
    <row r="15" spans="1:11" x14ac:dyDescent="0.25">
      <c r="B15" s="362" t="s">
        <v>65</v>
      </c>
      <c r="C15" s="363"/>
      <c r="D15" s="363"/>
      <c r="E15" s="363"/>
      <c r="F15" s="363"/>
      <c r="G15" s="364"/>
    </row>
    <row r="16" spans="1:11" x14ac:dyDescent="0.25">
      <c r="B16" s="71"/>
      <c r="C16" s="179" t="s">
        <v>64</v>
      </c>
      <c r="D16" s="179" t="s">
        <v>64</v>
      </c>
      <c r="E16" s="179" t="s">
        <v>64</v>
      </c>
      <c r="F16" s="185" t="s">
        <v>64</v>
      </c>
      <c r="G16" s="251" t="s">
        <v>412</v>
      </c>
    </row>
    <row r="17" spans="1:10" x14ac:dyDescent="0.25">
      <c r="B17" s="70" t="s">
        <v>62</v>
      </c>
      <c r="C17" s="318"/>
      <c r="D17" s="319"/>
      <c r="E17" s="319"/>
      <c r="F17" s="320"/>
      <c r="G17" s="161"/>
    </row>
    <row r="18" spans="1:10" x14ac:dyDescent="0.25">
      <c r="B18" s="70" t="s">
        <v>58</v>
      </c>
      <c r="C18" s="186"/>
      <c r="D18" s="187"/>
      <c r="E18" s="181"/>
      <c r="F18" s="188"/>
      <c r="G18" s="162"/>
    </row>
    <row r="19" spans="1:10" x14ac:dyDescent="0.25">
      <c r="B19" s="159" t="s">
        <v>364</v>
      </c>
      <c r="C19" s="157" t="str">
        <f>IF(ISERROR(IF(MID(C17,1,3)="ful",VLOOKUP(C18,GenFTPayRates,6,FALSE),VLOOKUP(C18,GenFTPayRates,5,FALSE))),"",IF(MID(C17,1,3)="ful",VLOOKUP(C18,GenFTPayRates,6,FALSE),VLOOKUP(C18,GenFTPayRates,5,FALSE)))</f>
        <v/>
      </c>
      <c r="D19" s="157" t="str">
        <f>IF(ISERROR(IF(MID(D17,1,3)="ful",VLOOKUP(D18,GenFTPayRates,6,FALSE),VLOOKUP(D18,GenFTPayRates,5,FALSE))),"",IF(MID(D17,1,3)="ful",VLOOKUP(D18,GenFTPayRates,6,FALSE),VLOOKUP(D18,GenFTPayRates,5,FALSE)))</f>
        <v/>
      </c>
      <c r="E19" s="157" t="str">
        <f>IF(ISERROR(IF(MID(E17,1,3)="ful",VLOOKUP(E18,GenFTPayRates,6,FALSE),VLOOKUP(E18,GenFTPayRates,5,FALSE))),"",IF(MID(E17,1,3)="ful",VLOOKUP(E18,GenFTPayRates,6,FALSE),VLOOKUP(E18,GenFTPayRates,5,FALSE)))</f>
        <v/>
      </c>
      <c r="F19" s="157" t="str">
        <f>IF(ISERROR(IF(MID(F17,1,3)="ful",VLOOKUP(F18,GenFTPayRates,6,FALSE),VLOOKUP(F18,GenFTPayRates,5,FALSE))),"",IF(MID(F17,1,3)="ful",VLOOKUP(F18,GenFTPayRates,6,FALSE),VLOOKUP(F18,GenFTPayRates,5,FALSE)))</f>
        <v/>
      </c>
      <c r="G19" s="160"/>
    </row>
    <row r="20" spans="1:10" x14ac:dyDescent="0.25">
      <c r="B20" s="159" t="s">
        <v>57</v>
      </c>
      <c r="C20" s="158" t="str">
        <f>IF(C19="","",C19/52.178571/35)</f>
        <v/>
      </c>
      <c r="D20" s="158" t="str">
        <f t="shared" ref="D20:F20" si="1">IF(D19="","",D19/52.178571/35)</f>
        <v/>
      </c>
      <c r="E20" s="158" t="str">
        <f t="shared" si="1"/>
        <v/>
      </c>
      <c r="F20" s="158" t="str">
        <f t="shared" si="1"/>
        <v/>
      </c>
      <c r="G20" s="160"/>
    </row>
    <row r="21" spans="1:10" x14ac:dyDescent="0.25">
      <c r="B21" s="69" t="s">
        <v>56</v>
      </c>
      <c r="C21" s="189"/>
      <c r="D21" s="184"/>
      <c r="E21" s="184"/>
      <c r="F21" s="190"/>
      <c r="G21" s="160"/>
    </row>
    <row r="22" spans="1:10" x14ac:dyDescent="0.25">
      <c r="B22" s="373" t="s">
        <v>55</v>
      </c>
      <c r="C22" s="374" t="str">
        <f>IF(C19="","",C20*C21)</f>
        <v/>
      </c>
      <c r="D22" s="375" t="str">
        <f>IF(D19="","",D20*D21)</f>
        <v/>
      </c>
      <c r="E22" s="375" t="str">
        <f>IF(E19="","",E20*E21)</f>
        <v/>
      </c>
      <c r="F22" s="376" t="str">
        <f>IF(F19="","",F20*F21)</f>
        <v/>
      </c>
      <c r="G22" s="377">
        <f>SUM(C22:F22)</f>
        <v>0</v>
      </c>
    </row>
    <row r="23" spans="1:10" ht="6.75" customHeight="1" x14ac:dyDescent="0.25">
      <c r="A23" s="57"/>
      <c r="B23" s="149"/>
      <c r="C23" s="67"/>
      <c r="D23" s="67"/>
      <c r="E23" s="67"/>
      <c r="F23" s="67"/>
      <c r="G23" s="252"/>
      <c r="H23" s="57"/>
    </row>
    <row r="24" spans="1:10" x14ac:dyDescent="0.25">
      <c r="B24" s="362" t="s">
        <v>59</v>
      </c>
      <c r="C24" s="179" t="s">
        <v>338</v>
      </c>
      <c r="D24" s="179" t="s">
        <v>338</v>
      </c>
      <c r="E24" s="179" t="s">
        <v>338</v>
      </c>
      <c r="F24" s="179" t="s">
        <v>338</v>
      </c>
      <c r="G24" s="251" t="s">
        <v>411</v>
      </c>
      <c r="I24" s="57"/>
      <c r="J24" s="57"/>
    </row>
    <row r="25" spans="1:10" s="35" customFormat="1" x14ac:dyDescent="0.25">
      <c r="B25" s="227" t="s">
        <v>58</v>
      </c>
      <c r="C25" s="228"/>
      <c r="D25" s="228"/>
      <c r="E25" s="228"/>
      <c r="F25" s="228"/>
      <c r="G25" s="229"/>
      <c r="I25" s="230"/>
      <c r="J25" s="230"/>
    </row>
    <row r="26" spans="1:10" x14ac:dyDescent="0.25">
      <c r="B26" s="159" t="s">
        <v>57</v>
      </c>
      <c r="C26" s="158" t="str">
        <f>IFERROR(VLOOKUP(C25,'Budgeted Staff Costs'!GenCasHrPayRates,8,),"")</f>
        <v/>
      </c>
      <c r="D26" s="158" t="str">
        <f>IFERROR(VLOOKUP(D25,'Budgeted Staff Costs'!GenCasHrPayRates,8,),"")</f>
        <v/>
      </c>
      <c r="E26" s="158" t="str">
        <f>IFERROR(VLOOKUP(E25,'Budgeted Staff Costs'!GenCasHrPayRates,8,),"")</f>
        <v/>
      </c>
      <c r="F26" s="158" t="str">
        <f>IFERROR(VLOOKUP(F25,'Budgeted Staff Costs'!GenCasHrPayRates,8,),"")</f>
        <v/>
      </c>
      <c r="G26" s="160"/>
    </row>
    <row r="27" spans="1:10" x14ac:dyDescent="0.25">
      <c r="B27" s="68" t="s">
        <v>56</v>
      </c>
      <c r="C27" s="189"/>
      <c r="D27" s="191"/>
      <c r="E27" s="184"/>
      <c r="F27" s="190"/>
      <c r="G27" s="160"/>
    </row>
    <row r="28" spans="1:10" x14ac:dyDescent="0.25">
      <c r="B28" s="373" t="s">
        <v>55</v>
      </c>
      <c r="C28" s="374" t="str">
        <f>IF(C25="","",C26*C27)</f>
        <v/>
      </c>
      <c r="D28" s="375" t="str">
        <f>IF(D25="","",D26*D27)</f>
        <v/>
      </c>
      <c r="E28" s="375" t="str">
        <f>IF(E25="","",E26*E27)</f>
        <v/>
      </c>
      <c r="F28" s="376" t="str">
        <f>IF(F25="","",F26*F27)</f>
        <v/>
      </c>
      <c r="G28" s="377">
        <f>SUM(C28:F28)</f>
        <v>0</v>
      </c>
    </row>
    <row r="29" spans="1:10" ht="6.75" customHeight="1" x14ac:dyDescent="0.25">
      <c r="A29" s="57"/>
      <c r="B29" s="149"/>
      <c r="C29" s="67"/>
      <c r="D29" s="67"/>
      <c r="E29" s="67"/>
      <c r="F29" s="67"/>
      <c r="G29" s="252"/>
      <c r="H29" s="57"/>
    </row>
    <row r="30" spans="1:10" s="35" customFormat="1" ht="20.25" customHeight="1" x14ac:dyDescent="0.25">
      <c r="B30" s="333" t="s">
        <v>54</v>
      </c>
      <c r="C30" s="370"/>
      <c r="D30" s="370"/>
      <c r="E30" s="370"/>
      <c r="F30" s="370"/>
      <c r="G30" s="371">
        <f>G22+G28</f>
        <v>0</v>
      </c>
    </row>
    <row r="31" spans="1:10" ht="5.25" customHeight="1" x14ac:dyDescent="0.25">
      <c r="A31" s="57"/>
      <c r="B31" s="149"/>
      <c r="C31" s="67"/>
      <c r="D31" s="67"/>
      <c r="E31" s="67"/>
      <c r="F31" s="67"/>
      <c r="G31" s="252"/>
      <c r="H31" s="57"/>
    </row>
    <row r="32" spans="1:10" s="35" customFormat="1" ht="27.75" customHeight="1" x14ac:dyDescent="0.25">
      <c r="B32" s="336" t="s">
        <v>53</v>
      </c>
      <c r="C32" s="337"/>
      <c r="D32" s="337"/>
      <c r="E32" s="337"/>
      <c r="F32" s="337"/>
      <c r="G32" s="372">
        <f>G13+G30</f>
        <v>0</v>
      </c>
    </row>
  </sheetData>
  <sheetProtection algorithmName="SHA-512" hashValue="XDz1yXncXcYJs4UCoh1cEZXRwiX4BP+H+TWQF0DvmQ/WPdW9FmIK/23gV1KoPsDZyoPId3P1lhhCxz/rACkHxw==" saltValue="DIym52ARjHmWdXhfD6DRtw==" spinCount="100000" sheet="1" objects="1" scenarios="1"/>
  <mergeCells count="2">
    <mergeCell ref="B3:G3"/>
    <mergeCell ref="B4:G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Lists!$I$3:$I$30</xm:f>
          </x14:formula1>
          <xm:sqref>C18:F18</xm:sqref>
        </x14:dataValidation>
        <x14:dataValidation type="list" allowBlank="1" showInputMessage="1" showErrorMessage="1">
          <x14:formula1>
            <xm:f>Lists!$K$3:$K$4</xm:f>
          </x14:formula1>
          <xm:sqref>C17:F17</xm:sqref>
        </x14:dataValidation>
        <x14:dataValidation type="list" allowBlank="1" showInputMessage="1" showErrorMessage="1">
          <x14:formula1>
            <xm:f>Lists!$E$3:$E$4</xm:f>
          </x14:formula1>
          <xm:sqref>C8:F8</xm:sqref>
        </x14:dataValidation>
        <x14:dataValidation type="list" allowBlank="1" showInputMessage="1" showErrorMessage="1">
          <x14:formula1>
            <xm:f>Lists!$G$3:$G$28</xm:f>
          </x14:formula1>
          <xm:sqref>C9:F9</xm:sqref>
        </x14:dataValidation>
        <x14:dataValidation type="list" allowBlank="1" showInputMessage="1" showErrorMessage="1">
          <x14:formula1>
            <xm:f>'Salary Cost Data - has formulas'!$B$59:$B$110</xm:f>
          </x14:formula1>
          <xm:sqref>C25:F25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94"/>
  <sheetViews>
    <sheetView showGridLines="0" showRowColHeaders="0" zoomScaleNormal="100" workbookViewId="0">
      <pane ySplit="4" topLeftCell="A5" activePane="bottomLeft" state="frozen"/>
      <selection activeCell="E37" sqref="E37"/>
      <selection pane="bottomLeft" activeCell="Y1" sqref="Y1"/>
    </sheetView>
  </sheetViews>
  <sheetFormatPr defaultRowHeight="15" x14ac:dyDescent="0.25"/>
  <cols>
    <col min="1" max="1" width="1" customWidth="1"/>
    <col min="2" max="2" width="1" hidden="1" customWidth="1"/>
    <col min="3" max="3" width="1" customWidth="1"/>
    <col min="4" max="4" width="27.28515625" style="74" customWidth="1"/>
    <col min="5" max="5" width="10.28515625" style="226" customWidth="1"/>
    <col min="6" max="6" width="2" style="74" customWidth="1"/>
    <col min="7" max="7" width="29.42578125" style="74" customWidth="1"/>
    <col min="8" max="8" width="10" style="226" customWidth="1"/>
    <col min="9" max="9" width="2" style="74" customWidth="1"/>
    <col min="10" max="10" width="29.42578125" style="74" customWidth="1"/>
    <col min="11" max="11" width="10.42578125" style="226" customWidth="1"/>
    <col min="12" max="12" width="2" style="74" customWidth="1"/>
    <col min="13" max="13" width="28" style="74" customWidth="1"/>
    <col min="14" max="14" width="10" style="226" customWidth="1"/>
    <col min="15" max="15" width="2" style="74" customWidth="1"/>
    <col min="16" max="16" width="25.140625" style="75" customWidth="1"/>
    <col min="17" max="17" width="10.28515625" style="226" customWidth="1"/>
    <col min="18" max="18" width="2" customWidth="1"/>
    <col min="19" max="19" width="18.85546875" style="74" customWidth="1"/>
    <col min="20" max="20" width="9.85546875" style="226" customWidth="1"/>
    <col min="21" max="21" width="5.5703125" customWidth="1"/>
  </cols>
  <sheetData>
    <row r="1" spans="3:21" ht="6.75" customHeight="1" thickBot="1" x14ac:dyDescent="0.3">
      <c r="C1" s="57"/>
    </row>
    <row r="2" spans="3:21" ht="30" customHeight="1" thickBot="1" x14ac:dyDescent="0.3">
      <c r="C2" s="57"/>
      <c r="D2" s="460" t="s">
        <v>362</v>
      </c>
      <c r="E2" s="461"/>
      <c r="F2" s="461"/>
      <c r="G2" s="461"/>
      <c r="H2" s="461"/>
      <c r="I2" s="461"/>
      <c r="J2" s="461"/>
      <c r="K2" s="462"/>
      <c r="L2" s="461"/>
      <c r="M2" s="461"/>
      <c r="N2" s="462"/>
      <c r="O2" s="461"/>
      <c r="P2" s="461"/>
      <c r="Q2" s="462"/>
      <c r="R2" s="461"/>
      <c r="S2" s="461"/>
      <c r="T2" s="463"/>
      <c r="U2" t="s">
        <v>361</v>
      </c>
    </row>
    <row r="3" spans="3:21" ht="6.75" customHeight="1" thickBot="1" x14ac:dyDescent="0.3">
      <c r="C3" s="206"/>
      <c r="D3" s="207"/>
      <c r="E3" s="265"/>
      <c r="F3" s="207"/>
      <c r="G3" s="207"/>
      <c r="H3" s="265"/>
      <c r="I3" s="207"/>
      <c r="J3" s="207"/>
      <c r="K3" s="265"/>
      <c r="L3" s="207"/>
      <c r="M3" s="207"/>
      <c r="N3" s="265"/>
      <c r="O3" s="207"/>
      <c r="P3" s="208"/>
      <c r="Q3" s="265"/>
      <c r="R3" s="57"/>
      <c r="S3" s="207"/>
      <c r="T3" s="265"/>
      <c r="U3" s="57"/>
    </row>
    <row r="4" spans="3:21" s="35" customFormat="1" ht="20.25" customHeight="1" x14ac:dyDescent="0.25">
      <c r="D4" s="521" t="s">
        <v>159</v>
      </c>
      <c r="E4" s="518" t="s">
        <v>358</v>
      </c>
      <c r="F4" s="515"/>
      <c r="G4" s="520" t="s">
        <v>34</v>
      </c>
      <c r="H4" s="518" t="s">
        <v>358</v>
      </c>
      <c r="I4" s="515"/>
      <c r="J4" s="520" t="s">
        <v>33</v>
      </c>
      <c r="K4" s="518" t="s">
        <v>358</v>
      </c>
      <c r="L4" s="515"/>
      <c r="M4" s="520" t="s">
        <v>32</v>
      </c>
      <c r="N4" s="518" t="s">
        <v>358</v>
      </c>
      <c r="O4" s="515"/>
      <c r="P4" s="519" t="s">
        <v>31</v>
      </c>
      <c r="Q4" s="518" t="s">
        <v>358</v>
      </c>
      <c r="R4" s="515"/>
      <c r="S4" s="516" t="s">
        <v>30</v>
      </c>
      <c r="T4" s="517" t="s">
        <v>358</v>
      </c>
    </row>
    <row r="5" spans="3:21" x14ac:dyDescent="0.25">
      <c r="D5" s="209" t="s">
        <v>158</v>
      </c>
      <c r="E5" s="266"/>
      <c r="F5" s="207"/>
      <c r="G5" s="76" t="s">
        <v>131</v>
      </c>
      <c r="H5" s="266"/>
      <c r="I5" s="207"/>
      <c r="J5" s="76" t="s">
        <v>84</v>
      </c>
      <c r="K5" s="266"/>
      <c r="L5" s="76"/>
      <c r="M5" s="210" t="s">
        <v>155</v>
      </c>
      <c r="N5" s="266"/>
      <c r="O5" s="76"/>
      <c r="P5" s="76" t="s">
        <v>117</v>
      </c>
      <c r="Q5" s="266"/>
      <c r="R5" s="57"/>
      <c r="S5" s="76" t="s">
        <v>147</v>
      </c>
      <c r="T5" s="275"/>
    </row>
    <row r="6" spans="3:21" x14ac:dyDescent="0.25">
      <c r="D6" s="209" t="s">
        <v>146</v>
      </c>
      <c r="E6" s="266"/>
      <c r="F6" s="207"/>
      <c r="G6" s="76" t="s">
        <v>127</v>
      </c>
      <c r="H6" s="266"/>
      <c r="I6" s="207"/>
      <c r="J6" s="76" t="s">
        <v>134</v>
      </c>
      <c r="K6" s="266"/>
      <c r="L6" s="76"/>
      <c r="M6" s="210" t="s">
        <v>149</v>
      </c>
      <c r="N6" s="266"/>
      <c r="O6" s="76"/>
      <c r="P6" s="76" t="s">
        <v>154</v>
      </c>
      <c r="Q6" s="266"/>
      <c r="R6" s="57"/>
      <c r="S6" s="76" t="s">
        <v>137</v>
      </c>
      <c r="T6" s="275"/>
    </row>
    <row r="7" spans="3:21" x14ac:dyDescent="0.25">
      <c r="D7" s="209" t="s">
        <v>141</v>
      </c>
      <c r="E7" s="266"/>
      <c r="F7" s="207"/>
      <c r="G7" s="76" t="s">
        <v>123</v>
      </c>
      <c r="H7" s="266"/>
      <c r="I7" s="207"/>
      <c r="J7" s="76" t="s">
        <v>130</v>
      </c>
      <c r="K7" s="266"/>
      <c r="L7" s="76"/>
      <c r="M7" s="76"/>
      <c r="N7" s="267"/>
      <c r="O7" s="76"/>
      <c r="P7" s="76" t="s">
        <v>121</v>
      </c>
      <c r="Q7" s="266"/>
      <c r="R7" s="57"/>
      <c r="S7" s="76" t="s">
        <v>142</v>
      </c>
      <c r="T7" s="275"/>
    </row>
    <row r="8" spans="3:21" x14ac:dyDescent="0.25">
      <c r="D8" s="209" t="s">
        <v>120</v>
      </c>
      <c r="E8" s="266"/>
      <c r="F8" s="207"/>
      <c r="G8" s="76" t="s">
        <v>83</v>
      </c>
      <c r="H8" s="266"/>
      <c r="I8" s="207"/>
      <c r="J8" s="76" t="s">
        <v>139</v>
      </c>
      <c r="K8" s="266"/>
      <c r="L8" s="76"/>
      <c r="M8" s="264" t="s">
        <v>63</v>
      </c>
      <c r="N8" s="268">
        <f>SUM(N5:N6)</f>
        <v>0</v>
      </c>
      <c r="O8" s="76"/>
      <c r="P8" s="76" t="s">
        <v>148</v>
      </c>
      <c r="Q8" s="266"/>
      <c r="R8" s="57"/>
      <c r="S8" s="76" t="s">
        <v>153</v>
      </c>
      <c r="T8" s="275"/>
    </row>
    <row r="9" spans="3:21" x14ac:dyDescent="0.25">
      <c r="D9" s="209" t="s">
        <v>116</v>
      </c>
      <c r="E9" s="266"/>
      <c r="F9" s="207"/>
      <c r="G9" s="76" t="s">
        <v>119</v>
      </c>
      <c r="H9" s="266"/>
      <c r="I9" s="207"/>
      <c r="J9" s="76" t="s">
        <v>126</v>
      </c>
      <c r="K9" s="266"/>
      <c r="L9" s="76"/>
      <c r="M9" s="76"/>
      <c r="N9" s="267"/>
      <c r="O9" s="76"/>
      <c r="P9" s="76" t="s">
        <v>125</v>
      </c>
      <c r="Q9" s="266"/>
      <c r="R9" s="57"/>
      <c r="S9" s="207"/>
      <c r="T9" s="276"/>
    </row>
    <row r="10" spans="3:21" x14ac:dyDescent="0.25">
      <c r="D10" s="209" t="s">
        <v>152</v>
      </c>
      <c r="E10" s="266"/>
      <c r="F10" s="207"/>
      <c r="G10" s="76" t="s">
        <v>115</v>
      </c>
      <c r="H10" s="266"/>
      <c r="I10" s="207"/>
      <c r="J10" s="76" t="s">
        <v>122</v>
      </c>
      <c r="K10" s="266"/>
      <c r="L10" s="76"/>
      <c r="M10" s="76"/>
      <c r="N10" s="267"/>
      <c r="O10" s="76"/>
      <c r="P10" s="76" t="s">
        <v>138</v>
      </c>
      <c r="Q10" s="266"/>
      <c r="R10" s="57"/>
      <c r="S10" s="264" t="s">
        <v>63</v>
      </c>
      <c r="T10" s="277">
        <f>SUM(T5:T8)</f>
        <v>0</v>
      </c>
    </row>
    <row r="11" spans="3:21" x14ac:dyDescent="0.25">
      <c r="D11" s="209" t="s">
        <v>136</v>
      </c>
      <c r="E11" s="266"/>
      <c r="F11" s="207"/>
      <c r="G11" s="76" t="s">
        <v>113</v>
      </c>
      <c r="H11" s="266"/>
      <c r="I11" s="207"/>
      <c r="J11" s="76" t="s">
        <v>98</v>
      </c>
      <c r="K11" s="266"/>
      <c r="L11" s="76"/>
      <c r="M11" s="76"/>
      <c r="N11" s="267"/>
      <c r="O11" s="76"/>
      <c r="P11" s="76" t="s">
        <v>129</v>
      </c>
      <c r="Q11" s="266"/>
      <c r="R11" s="57"/>
      <c r="S11" s="207"/>
      <c r="T11" s="276"/>
    </row>
    <row r="12" spans="3:21" x14ac:dyDescent="0.25">
      <c r="D12" s="209" t="s">
        <v>132</v>
      </c>
      <c r="E12" s="266"/>
      <c r="F12" s="207"/>
      <c r="G12" s="76" t="s">
        <v>111</v>
      </c>
      <c r="H12" s="266"/>
      <c r="I12" s="207"/>
      <c r="J12" s="76" t="s">
        <v>118</v>
      </c>
      <c r="K12" s="266"/>
      <c r="L12" s="76"/>
      <c r="M12" s="76"/>
      <c r="N12" s="267"/>
      <c r="O12" s="76"/>
      <c r="P12" s="76" t="s">
        <v>133</v>
      </c>
      <c r="Q12" s="266"/>
      <c r="R12" s="57"/>
      <c r="S12" s="207"/>
      <c r="T12" s="276"/>
    </row>
    <row r="13" spans="3:21" x14ac:dyDescent="0.25">
      <c r="D13" s="209" t="s">
        <v>124</v>
      </c>
      <c r="E13" s="266"/>
      <c r="F13" s="207"/>
      <c r="G13" s="76" t="s">
        <v>151</v>
      </c>
      <c r="H13" s="266"/>
      <c r="I13" s="207"/>
      <c r="J13" s="76" t="s">
        <v>156</v>
      </c>
      <c r="K13" s="266"/>
      <c r="L13" s="76"/>
      <c r="M13" s="76"/>
      <c r="N13" s="267"/>
      <c r="O13" s="76"/>
      <c r="P13" s="76" t="s">
        <v>143</v>
      </c>
      <c r="Q13" s="266"/>
      <c r="R13" s="57"/>
      <c r="S13" s="207"/>
      <c r="T13" s="276"/>
    </row>
    <row r="14" spans="3:21" x14ac:dyDescent="0.25">
      <c r="D14" s="209" t="s">
        <v>128</v>
      </c>
      <c r="E14" s="266"/>
      <c r="F14" s="207"/>
      <c r="G14" s="76" t="s">
        <v>145</v>
      </c>
      <c r="H14" s="266"/>
      <c r="I14" s="207"/>
      <c r="J14" s="76" t="s">
        <v>144</v>
      </c>
      <c r="K14" s="266"/>
      <c r="L14" s="76"/>
      <c r="M14" s="76"/>
      <c r="N14" s="267"/>
      <c r="O14" s="76"/>
      <c r="P14" s="208"/>
      <c r="Q14" s="267"/>
      <c r="R14" s="57"/>
      <c r="S14" s="76"/>
      <c r="T14" s="276"/>
    </row>
    <row r="15" spans="3:21" x14ac:dyDescent="0.25">
      <c r="D15" s="209"/>
      <c r="E15" s="267"/>
      <c r="F15" s="207"/>
      <c r="G15" s="76" t="s">
        <v>79</v>
      </c>
      <c r="H15" s="266"/>
      <c r="I15" s="207"/>
      <c r="J15" s="76" t="s">
        <v>114</v>
      </c>
      <c r="K15" s="266"/>
      <c r="L15" s="76"/>
      <c r="M15" s="76"/>
      <c r="N15" s="267"/>
      <c r="O15" s="76"/>
      <c r="P15" s="264" t="s">
        <v>63</v>
      </c>
      <c r="Q15" s="268">
        <f>SUM(Q5:Q13)</f>
        <v>0</v>
      </c>
      <c r="R15" s="57"/>
      <c r="S15" s="207"/>
      <c r="T15" s="278"/>
    </row>
    <row r="16" spans="3:21" x14ac:dyDescent="0.25">
      <c r="D16" s="263" t="s">
        <v>63</v>
      </c>
      <c r="E16" s="268">
        <f>SUM(E5:E14)</f>
        <v>0</v>
      </c>
      <c r="F16" s="207"/>
      <c r="G16" s="76" t="s">
        <v>157</v>
      </c>
      <c r="H16" s="272"/>
      <c r="I16" s="207"/>
      <c r="J16" s="76" t="s">
        <v>96</v>
      </c>
      <c r="K16" s="272"/>
      <c r="L16" s="76"/>
      <c r="M16" s="76"/>
      <c r="N16" s="271"/>
      <c r="O16" s="76"/>
      <c r="P16" s="76"/>
      <c r="Q16" s="271"/>
      <c r="R16" s="57"/>
      <c r="S16" s="76"/>
      <c r="T16" s="279"/>
    </row>
    <row r="17" spans="4:20" x14ac:dyDescent="0.25">
      <c r="D17" s="211"/>
      <c r="E17" s="265"/>
      <c r="F17" s="207"/>
      <c r="G17" s="76" t="s">
        <v>109</v>
      </c>
      <c r="H17" s="273"/>
      <c r="I17" s="207"/>
      <c r="J17" s="76" t="s">
        <v>112</v>
      </c>
      <c r="K17" s="273"/>
      <c r="L17" s="76"/>
      <c r="M17" s="76"/>
      <c r="N17" s="265"/>
      <c r="O17" s="76"/>
      <c r="P17" s="76"/>
      <c r="Q17" s="265"/>
      <c r="R17" s="57"/>
      <c r="S17" s="207"/>
      <c r="T17" s="278"/>
    </row>
    <row r="18" spans="4:20" x14ac:dyDescent="0.25">
      <c r="D18" s="211"/>
      <c r="E18" s="265"/>
      <c r="F18" s="207"/>
      <c r="G18" s="76" t="s">
        <v>107</v>
      </c>
      <c r="H18" s="273"/>
      <c r="I18" s="207"/>
      <c r="J18" s="76" t="s">
        <v>82</v>
      </c>
      <c r="K18" s="273"/>
      <c r="L18" s="76"/>
      <c r="M18" s="76"/>
      <c r="N18" s="265"/>
      <c r="O18" s="76"/>
      <c r="P18" s="208"/>
      <c r="Q18" s="265"/>
      <c r="R18" s="57"/>
      <c r="S18" s="207"/>
      <c r="T18" s="278"/>
    </row>
    <row r="19" spans="4:20" x14ac:dyDescent="0.25">
      <c r="D19" s="211"/>
      <c r="E19" s="265"/>
      <c r="F19" s="76"/>
      <c r="G19" s="76" t="s">
        <v>105</v>
      </c>
      <c r="H19" s="273"/>
      <c r="I19" s="207"/>
      <c r="J19" s="76" t="s">
        <v>110</v>
      </c>
      <c r="K19" s="273"/>
      <c r="L19" s="76"/>
      <c r="M19" s="76"/>
      <c r="N19" s="265"/>
      <c r="O19" s="76"/>
      <c r="P19" s="208"/>
      <c r="Q19" s="265"/>
      <c r="R19" s="57"/>
      <c r="S19" s="207"/>
      <c r="T19" s="278"/>
    </row>
    <row r="20" spans="4:20" x14ac:dyDescent="0.25">
      <c r="D20" s="212"/>
      <c r="E20" s="269"/>
      <c r="F20" s="76"/>
      <c r="G20" s="76" t="s">
        <v>103</v>
      </c>
      <c r="H20" s="274"/>
      <c r="I20" s="207"/>
      <c r="J20" s="76" t="s">
        <v>86</v>
      </c>
      <c r="K20" s="274"/>
      <c r="L20" s="76"/>
      <c r="M20" s="76"/>
      <c r="N20" s="269"/>
      <c r="O20" s="76"/>
      <c r="P20" s="208"/>
      <c r="Q20" s="269"/>
      <c r="R20" s="57"/>
      <c r="S20" s="207"/>
      <c r="T20" s="280"/>
    </row>
    <row r="21" spans="4:20" x14ac:dyDescent="0.25">
      <c r="D21" s="212"/>
      <c r="E21" s="269"/>
      <c r="F21" s="76"/>
      <c r="G21" s="76" t="s">
        <v>77</v>
      </c>
      <c r="H21" s="274"/>
      <c r="I21" s="207"/>
      <c r="J21" s="76" t="s">
        <v>94</v>
      </c>
      <c r="K21" s="274"/>
      <c r="L21" s="76"/>
      <c r="M21" s="76"/>
      <c r="N21" s="269"/>
      <c r="O21" s="76"/>
      <c r="P21" s="208"/>
      <c r="Q21" s="269"/>
      <c r="R21" s="57"/>
      <c r="S21" s="207"/>
      <c r="T21" s="280"/>
    </row>
    <row r="22" spans="4:20" x14ac:dyDescent="0.25">
      <c r="D22" s="211"/>
      <c r="E22" s="265"/>
      <c r="F22" s="76"/>
      <c r="G22" s="76" t="s">
        <v>81</v>
      </c>
      <c r="H22" s="273"/>
      <c r="I22" s="207"/>
      <c r="J22" s="76" t="s">
        <v>92</v>
      </c>
      <c r="K22" s="273"/>
      <c r="L22" s="76"/>
      <c r="M22" s="76"/>
      <c r="N22" s="265"/>
      <c r="O22" s="76"/>
      <c r="P22" s="208"/>
      <c r="Q22" s="265"/>
      <c r="R22" s="57"/>
      <c r="S22" s="207"/>
      <c r="T22" s="278"/>
    </row>
    <row r="23" spans="4:20" x14ac:dyDescent="0.25">
      <c r="D23" s="211"/>
      <c r="E23" s="265"/>
      <c r="F23" s="76"/>
      <c r="G23" s="76" t="s">
        <v>101</v>
      </c>
      <c r="H23" s="273"/>
      <c r="I23" s="207"/>
      <c r="J23" s="76" t="s">
        <v>108</v>
      </c>
      <c r="K23" s="273"/>
      <c r="L23" s="76"/>
      <c r="M23" s="76"/>
      <c r="N23" s="265"/>
      <c r="O23" s="76"/>
      <c r="P23" s="208"/>
      <c r="Q23" s="265"/>
      <c r="R23" s="57"/>
      <c r="S23" s="207"/>
      <c r="T23" s="278"/>
    </row>
    <row r="24" spans="4:20" x14ac:dyDescent="0.25">
      <c r="D24" s="211"/>
      <c r="E24" s="265"/>
      <c r="F24" s="76"/>
      <c r="G24" s="76" t="s">
        <v>99</v>
      </c>
      <c r="H24" s="273"/>
      <c r="I24" s="207"/>
      <c r="J24" s="76" t="s">
        <v>106</v>
      </c>
      <c r="K24" s="273"/>
      <c r="L24" s="76"/>
      <c r="M24" s="76"/>
      <c r="N24" s="265"/>
      <c r="O24" s="76"/>
      <c r="P24" s="208"/>
      <c r="Q24" s="265"/>
      <c r="R24" s="57"/>
      <c r="S24" s="207"/>
      <c r="T24" s="278"/>
    </row>
    <row r="25" spans="4:20" x14ac:dyDescent="0.25">
      <c r="D25" s="211"/>
      <c r="E25" s="265"/>
      <c r="F25" s="76"/>
      <c r="G25" s="76" t="s">
        <v>97</v>
      </c>
      <c r="H25" s="273"/>
      <c r="I25" s="207"/>
      <c r="J25" s="76" t="s">
        <v>72</v>
      </c>
      <c r="K25" s="273"/>
      <c r="L25" s="76"/>
      <c r="M25" s="76"/>
      <c r="N25" s="265"/>
      <c r="O25" s="76"/>
      <c r="P25" s="208"/>
      <c r="Q25" s="265"/>
      <c r="R25" s="57"/>
      <c r="S25" s="207"/>
      <c r="T25" s="278"/>
    </row>
    <row r="26" spans="4:20" x14ac:dyDescent="0.25">
      <c r="D26" s="211"/>
      <c r="E26" s="265"/>
      <c r="F26" s="76"/>
      <c r="G26" s="76" t="s">
        <v>95</v>
      </c>
      <c r="H26" s="273"/>
      <c r="I26" s="207"/>
      <c r="J26" s="76" t="s">
        <v>104</v>
      </c>
      <c r="K26" s="273"/>
      <c r="L26" s="76"/>
      <c r="M26" s="76"/>
      <c r="N26" s="265"/>
      <c r="O26" s="76"/>
      <c r="P26" s="208"/>
      <c r="Q26" s="265"/>
      <c r="R26" s="57"/>
      <c r="S26" s="207"/>
      <c r="T26" s="278"/>
    </row>
    <row r="27" spans="4:20" x14ac:dyDescent="0.25">
      <c r="D27" s="211"/>
      <c r="E27" s="265"/>
      <c r="F27" s="76"/>
      <c r="G27" s="76" t="s">
        <v>135</v>
      </c>
      <c r="H27" s="273"/>
      <c r="I27" s="207"/>
      <c r="J27" s="76" t="s">
        <v>150</v>
      </c>
      <c r="K27" s="273"/>
      <c r="L27" s="76"/>
      <c r="M27" s="76"/>
      <c r="N27" s="265"/>
      <c r="O27" s="76"/>
      <c r="P27" s="208"/>
      <c r="Q27" s="265"/>
      <c r="R27" s="57"/>
      <c r="S27" s="207"/>
      <c r="T27" s="278"/>
    </row>
    <row r="28" spans="4:20" x14ac:dyDescent="0.25">
      <c r="D28" s="211"/>
      <c r="E28" s="265"/>
      <c r="F28" s="76"/>
      <c r="G28" s="76" t="s">
        <v>85</v>
      </c>
      <c r="H28" s="273"/>
      <c r="I28" s="207"/>
      <c r="J28" s="76" t="s">
        <v>74</v>
      </c>
      <c r="K28" s="273"/>
      <c r="L28" s="76"/>
      <c r="M28" s="76"/>
      <c r="N28" s="265"/>
      <c r="O28" s="76"/>
      <c r="P28" s="208"/>
      <c r="Q28" s="265"/>
      <c r="R28" s="57"/>
      <c r="S28" s="207"/>
      <c r="T28" s="278"/>
    </row>
    <row r="29" spans="4:20" x14ac:dyDescent="0.25">
      <c r="D29" s="211"/>
      <c r="E29" s="265"/>
      <c r="F29" s="76"/>
      <c r="G29" s="76" t="s">
        <v>93</v>
      </c>
      <c r="H29" s="273"/>
      <c r="I29" s="207"/>
      <c r="J29" s="76" t="s">
        <v>102</v>
      </c>
      <c r="K29" s="273"/>
      <c r="L29" s="76"/>
      <c r="M29" s="76"/>
      <c r="N29" s="265"/>
      <c r="O29" s="76"/>
      <c r="P29" s="208"/>
      <c r="Q29" s="265"/>
      <c r="R29" s="57"/>
      <c r="S29" s="207"/>
      <c r="T29" s="278"/>
    </row>
    <row r="30" spans="4:20" x14ac:dyDescent="0.25">
      <c r="D30" s="211"/>
      <c r="E30" s="265"/>
      <c r="F30" s="76"/>
      <c r="G30" s="76" t="s">
        <v>91</v>
      </c>
      <c r="H30" s="273"/>
      <c r="I30" s="207"/>
      <c r="J30" s="76" t="s">
        <v>100</v>
      </c>
      <c r="K30" s="273"/>
      <c r="L30" s="76"/>
      <c r="M30" s="76"/>
      <c r="N30" s="265"/>
      <c r="O30" s="76"/>
      <c r="P30" s="208"/>
      <c r="Q30" s="265"/>
      <c r="R30" s="57"/>
      <c r="S30" s="207"/>
      <c r="T30" s="278"/>
    </row>
    <row r="31" spans="4:20" x14ac:dyDescent="0.25">
      <c r="D31" s="211"/>
      <c r="E31" s="265"/>
      <c r="F31" s="76"/>
      <c r="G31" s="76" t="s">
        <v>140</v>
      </c>
      <c r="H31" s="273"/>
      <c r="I31" s="207"/>
      <c r="J31" s="76" t="s">
        <v>88</v>
      </c>
      <c r="K31" s="273"/>
      <c r="L31" s="76"/>
      <c r="M31" s="76"/>
      <c r="N31" s="265"/>
      <c r="O31" s="76"/>
      <c r="P31" s="208"/>
      <c r="Q31" s="265"/>
      <c r="R31" s="57"/>
      <c r="S31" s="207"/>
      <c r="T31" s="278"/>
    </row>
    <row r="32" spans="4:20" x14ac:dyDescent="0.25">
      <c r="D32" s="211"/>
      <c r="E32" s="265"/>
      <c r="F32" s="76"/>
      <c r="G32" s="76" t="s">
        <v>89</v>
      </c>
      <c r="H32" s="273"/>
      <c r="I32" s="207"/>
      <c r="J32" s="76" t="s">
        <v>80</v>
      </c>
      <c r="K32" s="273"/>
      <c r="L32" s="76"/>
      <c r="M32" s="76"/>
      <c r="N32" s="265"/>
      <c r="O32" s="76"/>
      <c r="P32" s="208"/>
      <c r="Q32" s="265"/>
      <c r="R32" s="57"/>
      <c r="S32" s="207"/>
      <c r="T32" s="278"/>
    </row>
    <row r="33" spans="4:20" x14ac:dyDescent="0.25">
      <c r="D33" s="211"/>
      <c r="E33" s="265"/>
      <c r="F33" s="76"/>
      <c r="G33" s="76" t="s">
        <v>68</v>
      </c>
      <c r="H33" s="273"/>
      <c r="I33" s="207"/>
      <c r="J33" s="76" t="s">
        <v>76</v>
      </c>
      <c r="K33" s="273"/>
      <c r="L33" s="76"/>
      <c r="M33" s="76"/>
      <c r="N33" s="265"/>
      <c r="O33" s="76"/>
      <c r="P33" s="208"/>
      <c r="Q33" s="265"/>
      <c r="R33" s="57"/>
      <c r="S33" s="207"/>
      <c r="T33" s="278"/>
    </row>
    <row r="34" spans="4:20" x14ac:dyDescent="0.25">
      <c r="D34" s="211"/>
      <c r="E34" s="265"/>
      <c r="F34" s="76"/>
      <c r="G34" s="76" t="s">
        <v>87</v>
      </c>
      <c r="H34" s="273"/>
      <c r="I34" s="207"/>
      <c r="J34" s="76" t="s">
        <v>78</v>
      </c>
      <c r="K34" s="273"/>
      <c r="L34" s="76"/>
      <c r="M34" s="76"/>
      <c r="N34" s="265"/>
      <c r="O34" s="76"/>
      <c r="P34" s="208"/>
      <c r="Q34" s="265"/>
      <c r="R34" s="57"/>
      <c r="S34" s="207"/>
      <c r="T34" s="278"/>
    </row>
    <row r="35" spans="4:20" x14ac:dyDescent="0.25">
      <c r="D35" s="211"/>
      <c r="E35" s="265"/>
      <c r="F35" s="76"/>
      <c r="G35" s="76" t="s">
        <v>75</v>
      </c>
      <c r="H35" s="273"/>
      <c r="I35" s="207"/>
      <c r="J35" s="76" t="s">
        <v>90</v>
      </c>
      <c r="K35" s="273"/>
      <c r="L35" s="76"/>
      <c r="M35" s="76"/>
      <c r="N35" s="265"/>
      <c r="O35" s="76"/>
      <c r="P35" s="208"/>
      <c r="Q35" s="265"/>
      <c r="R35" s="57"/>
      <c r="S35" s="207"/>
      <c r="T35" s="278"/>
    </row>
    <row r="36" spans="4:20" x14ac:dyDescent="0.25">
      <c r="D36" s="211"/>
      <c r="E36" s="265"/>
      <c r="F36" s="76"/>
      <c r="G36" s="78" t="s">
        <v>73</v>
      </c>
      <c r="H36" s="273"/>
      <c r="I36" s="207"/>
      <c r="J36" s="207"/>
      <c r="K36" s="265"/>
      <c r="L36" s="76"/>
      <c r="M36" s="76"/>
      <c r="N36" s="265"/>
      <c r="O36" s="76"/>
      <c r="P36" s="208"/>
      <c r="Q36" s="265"/>
      <c r="R36" s="57"/>
      <c r="S36" s="207"/>
      <c r="T36" s="278"/>
    </row>
    <row r="37" spans="4:20" x14ac:dyDescent="0.25">
      <c r="D37" s="211"/>
      <c r="E37" s="265"/>
      <c r="F37" s="76"/>
      <c r="G37" s="78" t="s">
        <v>71</v>
      </c>
      <c r="H37" s="273"/>
      <c r="I37" s="207"/>
      <c r="J37" s="264" t="s">
        <v>63</v>
      </c>
      <c r="K37" s="268">
        <f>SUM(K5:K36)</f>
        <v>0</v>
      </c>
      <c r="L37" s="76"/>
      <c r="M37" s="76"/>
      <c r="N37" s="265"/>
      <c r="O37" s="76"/>
      <c r="P37" s="208"/>
      <c r="Q37" s="265"/>
      <c r="R37" s="57"/>
      <c r="S37" s="207"/>
      <c r="T37" s="278"/>
    </row>
    <row r="38" spans="4:20" x14ac:dyDescent="0.25">
      <c r="D38" s="211"/>
      <c r="E38" s="265"/>
      <c r="F38" s="76"/>
      <c r="G38" s="78" t="s">
        <v>70</v>
      </c>
      <c r="H38" s="273"/>
      <c r="I38" s="207"/>
      <c r="J38" s="207"/>
      <c r="K38" s="265"/>
      <c r="L38" s="76"/>
      <c r="M38" s="76"/>
      <c r="N38" s="265"/>
      <c r="O38" s="76"/>
      <c r="P38" s="208"/>
      <c r="Q38" s="265"/>
      <c r="R38" s="57"/>
      <c r="S38" s="207"/>
      <c r="T38" s="278"/>
    </row>
    <row r="39" spans="4:20" x14ac:dyDescent="0.25">
      <c r="D39" s="211"/>
      <c r="E39" s="265"/>
      <c r="F39" s="76"/>
      <c r="G39" s="78" t="s">
        <v>69</v>
      </c>
      <c r="H39" s="273"/>
      <c r="I39" s="207"/>
      <c r="J39" s="207"/>
      <c r="K39" s="265"/>
      <c r="L39" s="207"/>
      <c r="M39" s="207"/>
      <c r="N39" s="265"/>
      <c r="O39" s="207"/>
      <c r="P39" s="208"/>
      <c r="Q39" s="265"/>
      <c r="R39" s="57"/>
      <c r="S39" s="207"/>
      <c r="T39" s="278"/>
    </row>
    <row r="40" spans="4:20" x14ac:dyDescent="0.25">
      <c r="D40" s="211"/>
      <c r="E40" s="265"/>
      <c r="F40" s="76"/>
      <c r="H40" s="265"/>
      <c r="I40" s="207"/>
      <c r="J40" s="207"/>
      <c r="K40" s="265"/>
      <c r="L40" s="207"/>
      <c r="M40" s="207"/>
      <c r="N40" s="265"/>
      <c r="O40" s="207"/>
      <c r="P40" s="208"/>
      <c r="Q40" s="265"/>
      <c r="R40" s="57"/>
      <c r="S40" s="207"/>
      <c r="T40" s="278"/>
    </row>
    <row r="41" spans="4:20" x14ac:dyDescent="0.25">
      <c r="D41" s="211"/>
      <c r="E41" s="265"/>
      <c r="F41" s="76"/>
      <c r="G41" s="264" t="s">
        <v>63</v>
      </c>
      <c r="H41" s="268">
        <f>SUM(H5:H39)</f>
        <v>0</v>
      </c>
      <c r="I41" s="207"/>
      <c r="J41" s="207"/>
      <c r="K41" s="265"/>
      <c r="L41" s="207"/>
      <c r="M41" s="207"/>
      <c r="N41" s="265"/>
      <c r="O41" s="207"/>
      <c r="P41" s="208"/>
      <c r="Q41" s="265"/>
      <c r="R41" s="57"/>
      <c r="S41" s="207"/>
      <c r="T41" s="278"/>
    </row>
    <row r="42" spans="4:20" ht="15.75" thickBot="1" x14ac:dyDescent="0.3">
      <c r="D42" s="213"/>
      <c r="E42" s="270"/>
      <c r="F42" s="215"/>
      <c r="G42" s="215"/>
      <c r="H42" s="270"/>
      <c r="I42" s="214"/>
      <c r="J42" s="214"/>
      <c r="K42" s="270"/>
      <c r="L42" s="214"/>
      <c r="M42" s="214"/>
      <c r="N42" s="270"/>
      <c r="O42" s="214"/>
      <c r="P42" s="216"/>
      <c r="Q42" s="270"/>
      <c r="R42" s="205"/>
      <c r="S42" s="214"/>
      <c r="T42" s="281"/>
    </row>
    <row r="43" spans="4:20" x14ac:dyDescent="0.25">
      <c r="F43" s="76"/>
    </row>
    <row r="44" spans="4:20" x14ac:dyDescent="0.25">
      <c r="F44" s="76"/>
    </row>
    <row r="45" spans="4:20" x14ac:dyDescent="0.25">
      <c r="F45" s="76"/>
    </row>
    <row r="46" spans="4:20" x14ac:dyDescent="0.25">
      <c r="F46" s="76"/>
    </row>
    <row r="47" spans="4:20" x14ac:dyDescent="0.25">
      <c r="F47" s="76"/>
    </row>
    <row r="48" spans="4:20" x14ac:dyDescent="0.25">
      <c r="F48" s="76"/>
    </row>
    <row r="49" spans="4:20" x14ac:dyDescent="0.25">
      <c r="F49" s="76"/>
    </row>
    <row r="50" spans="4:20" x14ac:dyDescent="0.25">
      <c r="F50" s="76"/>
    </row>
    <row r="51" spans="4:20" x14ac:dyDescent="0.25">
      <c r="F51" s="76"/>
    </row>
    <row r="52" spans="4:20" x14ac:dyDescent="0.25">
      <c r="F52" s="76"/>
    </row>
    <row r="53" spans="4:20" x14ac:dyDescent="0.25">
      <c r="F53" s="76"/>
    </row>
    <row r="54" spans="4:20" x14ac:dyDescent="0.25">
      <c r="F54" s="76"/>
    </row>
    <row r="55" spans="4:20" x14ac:dyDescent="0.25">
      <c r="F55" s="76"/>
    </row>
    <row r="56" spans="4:20" x14ac:dyDescent="0.25">
      <c r="F56" s="76"/>
    </row>
    <row r="57" spans="4:20" x14ac:dyDescent="0.25">
      <c r="F57" s="76"/>
    </row>
    <row r="59" spans="4:20" x14ac:dyDescent="0.25">
      <c r="D59" s="77"/>
      <c r="E59" s="271"/>
      <c r="H59" s="271"/>
      <c r="K59" s="271"/>
      <c r="N59" s="271"/>
      <c r="Q59" s="271"/>
      <c r="T59" s="271"/>
    </row>
    <row r="60" spans="4:20" x14ac:dyDescent="0.25">
      <c r="D60" s="76"/>
      <c r="E60" s="267"/>
      <c r="F60" s="76"/>
      <c r="H60" s="267"/>
      <c r="K60" s="267"/>
      <c r="N60" s="267"/>
      <c r="Q60" s="267"/>
      <c r="T60" s="267"/>
    </row>
    <row r="61" spans="4:20" x14ac:dyDescent="0.25">
      <c r="D61" s="76"/>
      <c r="E61" s="267"/>
      <c r="F61" s="76"/>
      <c r="H61" s="267"/>
      <c r="K61" s="267"/>
      <c r="N61" s="267"/>
      <c r="Q61" s="267"/>
      <c r="T61" s="267"/>
    </row>
    <row r="62" spans="4:20" x14ac:dyDescent="0.25">
      <c r="D62" s="76"/>
      <c r="E62" s="267"/>
      <c r="F62" s="76"/>
      <c r="H62" s="267"/>
      <c r="K62" s="267"/>
      <c r="N62" s="267"/>
      <c r="Q62" s="267"/>
      <c r="T62" s="267"/>
    </row>
    <row r="63" spans="4:20" x14ac:dyDescent="0.25">
      <c r="D63" s="76"/>
      <c r="E63" s="267"/>
      <c r="F63" s="76"/>
      <c r="H63" s="267"/>
      <c r="K63" s="267"/>
      <c r="N63" s="267"/>
      <c r="Q63" s="267"/>
      <c r="T63" s="267"/>
    </row>
    <row r="64" spans="4:20" x14ac:dyDescent="0.25">
      <c r="D64" s="76"/>
      <c r="E64" s="267"/>
      <c r="F64" s="76"/>
      <c r="H64" s="267"/>
      <c r="K64" s="267"/>
      <c r="N64" s="267"/>
      <c r="Q64" s="267"/>
      <c r="T64" s="267"/>
    </row>
    <row r="65" spans="4:20" x14ac:dyDescent="0.25">
      <c r="D65" s="76"/>
      <c r="E65" s="267"/>
      <c r="F65" s="76"/>
      <c r="H65" s="267"/>
      <c r="K65" s="267"/>
      <c r="N65" s="267"/>
      <c r="Q65" s="267"/>
      <c r="T65" s="267"/>
    </row>
    <row r="66" spans="4:20" x14ac:dyDescent="0.25">
      <c r="D66" s="76"/>
      <c r="E66" s="267"/>
      <c r="F66" s="76"/>
      <c r="H66" s="267"/>
      <c r="K66" s="267"/>
      <c r="N66" s="267"/>
      <c r="Q66" s="267"/>
      <c r="T66" s="267"/>
    </row>
    <row r="67" spans="4:20" x14ac:dyDescent="0.25">
      <c r="D67" s="76"/>
      <c r="E67" s="267"/>
      <c r="F67" s="76"/>
      <c r="H67" s="267"/>
      <c r="K67" s="267"/>
      <c r="N67" s="267"/>
      <c r="Q67" s="267"/>
      <c r="T67" s="267"/>
    </row>
    <row r="68" spans="4:20" x14ac:dyDescent="0.25">
      <c r="D68" s="76"/>
      <c r="E68" s="267"/>
      <c r="F68" s="76"/>
      <c r="H68" s="267"/>
      <c r="K68" s="267"/>
      <c r="N68" s="267"/>
      <c r="Q68" s="267"/>
      <c r="T68" s="267"/>
    </row>
    <row r="69" spans="4:20" x14ac:dyDescent="0.25">
      <c r="D69" s="76"/>
      <c r="E69" s="267"/>
      <c r="F69" s="76"/>
      <c r="H69" s="267"/>
      <c r="K69" s="267"/>
      <c r="N69" s="267"/>
      <c r="Q69" s="267"/>
      <c r="T69" s="267"/>
    </row>
    <row r="70" spans="4:20" x14ac:dyDescent="0.25">
      <c r="D70" s="76"/>
      <c r="E70" s="267"/>
      <c r="F70" s="76"/>
      <c r="H70" s="267"/>
      <c r="K70" s="267"/>
      <c r="N70" s="267"/>
      <c r="Q70" s="267"/>
      <c r="T70" s="267"/>
    </row>
    <row r="71" spans="4:20" x14ac:dyDescent="0.25">
      <c r="D71" s="76"/>
      <c r="E71" s="267"/>
      <c r="F71" s="76"/>
      <c r="H71" s="267"/>
      <c r="K71" s="267"/>
      <c r="N71" s="267"/>
      <c r="Q71" s="267"/>
      <c r="T71" s="267"/>
    </row>
    <row r="72" spans="4:20" x14ac:dyDescent="0.25">
      <c r="D72" s="76"/>
      <c r="E72" s="267"/>
      <c r="F72" s="76"/>
      <c r="H72" s="267"/>
      <c r="K72" s="267"/>
      <c r="N72" s="267"/>
      <c r="Q72" s="267"/>
      <c r="T72" s="267"/>
    </row>
    <row r="73" spans="4:20" x14ac:dyDescent="0.25">
      <c r="D73" s="76"/>
      <c r="E73" s="267"/>
      <c r="F73" s="76"/>
      <c r="H73" s="267"/>
      <c r="K73" s="267"/>
      <c r="N73" s="267"/>
      <c r="Q73" s="267"/>
      <c r="T73" s="267"/>
    </row>
    <row r="74" spans="4:20" x14ac:dyDescent="0.25">
      <c r="D74" s="76"/>
      <c r="E74" s="267"/>
      <c r="F74" s="76"/>
      <c r="H74" s="267"/>
      <c r="K74" s="267"/>
      <c r="N74" s="267"/>
      <c r="Q74" s="267"/>
      <c r="T74" s="267"/>
    </row>
    <row r="75" spans="4:20" x14ac:dyDescent="0.25">
      <c r="D75" s="76"/>
      <c r="E75" s="267"/>
      <c r="F75" s="76"/>
      <c r="H75" s="267"/>
      <c r="K75" s="267"/>
      <c r="N75" s="267"/>
      <c r="Q75" s="267"/>
      <c r="T75" s="267"/>
    </row>
    <row r="76" spans="4:20" x14ac:dyDescent="0.25">
      <c r="D76" s="76"/>
      <c r="E76" s="267"/>
      <c r="F76" s="76"/>
      <c r="H76" s="267"/>
      <c r="K76" s="267"/>
      <c r="N76" s="267"/>
      <c r="Q76" s="267"/>
      <c r="T76" s="267"/>
    </row>
    <row r="77" spans="4:20" x14ac:dyDescent="0.25">
      <c r="D77" s="76"/>
      <c r="E77" s="267"/>
      <c r="F77" s="76"/>
      <c r="H77" s="267"/>
      <c r="K77" s="267"/>
      <c r="N77" s="267"/>
      <c r="Q77" s="267"/>
      <c r="T77" s="267"/>
    </row>
    <row r="78" spans="4:20" x14ac:dyDescent="0.25">
      <c r="D78" s="76"/>
      <c r="E78" s="267"/>
      <c r="F78" s="76"/>
      <c r="H78" s="267"/>
      <c r="K78" s="267"/>
      <c r="N78" s="267"/>
      <c r="Q78" s="267"/>
      <c r="T78" s="267"/>
    </row>
    <row r="79" spans="4:20" x14ac:dyDescent="0.25">
      <c r="D79" s="76"/>
      <c r="E79" s="267"/>
      <c r="F79" s="76"/>
      <c r="H79" s="267"/>
      <c r="K79" s="267"/>
      <c r="N79" s="267"/>
      <c r="Q79" s="267"/>
      <c r="T79" s="267"/>
    </row>
    <row r="80" spans="4:20" x14ac:dyDescent="0.25">
      <c r="D80" s="76"/>
      <c r="E80" s="267"/>
      <c r="F80" s="76"/>
      <c r="H80" s="267"/>
      <c r="K80" s="267"/>
      <c r="N80" s="267"/>
      <c r="Q80" s="267"/>
      <c r="T80" s="267"/>
    </row>
    <row r="81" spans="4:20" x14ac:dyDescent="0.25">
      <c r="D81" s="76"/>
      <c r="E81" s="267"/>
      <c r="F81" s="76"/>
      <c r="H81" s="267"/>
      <c r="K81" s="267"/>
      <c r="N81" s="267"/>
      <c r="Q81" s="267"/>
      <c r="T81" s="267"/>
    </row>
    <row r="82" spans="4:20" x14ac:dyDescent="0.25">
      <c r="D82" s="76"/>
      <c r="E82" s="267"/>
      <c r="F82" s="76"/>
      <c r="H82" s="267"/>
      <c r="K82" s="267"/>
      <c r="N82" s="267"/>
      <c r="Q82" s="267"/>
      <c r="T82" s="267"/>
    </row>
    <row r="83" spans="4:20" x14ac:dyDescent="0.25">
      <c r="D83" s="76"/>
      <c r="E83" s="267"/>
      <c r="F83" s="76"/>
      <c r="H83" s="267"/>
      <c r="K83" s="267"/>
      <c r="N83" s="267"/>
      <c r="Q83" s="267"/>
      <c r="T83" s="267"/>
    </row>
    <row r="84" spans="4:20" x14ac:dyDescent="0.25">
      <c r="D84" s="76"/>
      <c r="E84" s="267"/>
      <c r="F84" s="76"/>
      <c r="H84" s="267"/>
      <c r="K84" s="267"/>
      <c r="N84" s="267"/>
      <c r="Q84" s="267"/>
      <c r="T84" s="267"/>
    </row>
    <row r="85" spans="4:20" x14ac:dyDescent="0.25">
      <c r="D85" s="76"/>
      <c r="E85" s="267"/>
      <c r="F85" s="76"/>
      <c r="H85" s="267"/>
      <c r="K85" s="267"/>
      <c r="N85" s="267"/>
      <c r="Q85" s="267"/>
      <c r="T85" s="267"/>
    </row>
    <row r="86" spans="4:20" x14ac:dyDescent="0.25">
      <c r="D86" s="76"/>
      <c r="E86" s="267"/>
      <c r="F86" s="76"/>
      <c r="H86" s="267"/>
      <c r="K86" s="267"/>
      <c r="N86" s="267"/>
      <c r="Q86" s="267"/>
      <c r="T86" s="267"/>
    </row>
    <row r="87" spans="4:20" x14ac:dyDescent="0.25">
      <c r="D87" s="76"/>
      <c r="E87" s="267"/>
      <c r="F87" s="76"/>
      <c r="H87" s="267"/>
      <c r="K87" s="267"/>
      <c r="N87" s="267"/>
      <c r="Q87" s="267"/>
      <c r="T87" s="267"/>
    </row>
    <row r="88" spans="4:20" x14ac:dyDescent="0.25">
      <c r="D88" s="76"/>
      <c r="E88" s="267"/>
      <c r="F88" s="76"/>
      <c r="H88" s="267"/>
      <c r="K88" s="267"/>
      <c r="N88" s="267"/>
      <c r="Q88" s="267"/>
      <c r="T88" s="267"/>
    </row>
    <row r="89" spans="4:20" x14ac:dyDescent="0.25">
      <c r="D89" s="76"/>
      <c r="E89" s="267"/>
      <c r="F89" s="76"/>
      <c r="H89" s="267"/>
      <c r="K89" s="267"/>
      <c r="N89" s="267"/>
      <c r="Q89" s="267"/>
      <c r="T89" s="267"/>
    </row>
    <row r="90" spans="4:20" x14ac:dyDescent="0.25">
      <c r="D90" s="76"/>
      <c r="E90" s="267"/>
      <c r="F90" s="76"/>
      <c r="H90" s="267"/>
      <c r="K90" s="267"/>
      <c r="N90" s="267"/>
      <c r="Q90" s="267"/>
      <c r="T90" s="267"/>
    </row>
    <row r="91" spans="4:20" x14ac:dyDescent="0.25">
      <c r="D91" s="76"/>
      <c r="E91" s="267"/>
      <c r="F91" s="76"/>
      <c r="H91" s="267"/>
      <c r="K91" s="267"/>
      <c r="N91" s="267"/>
      <c r="Q91" s="267"/>
      <c r="T91" s="267"/>
    </row>
    <row r="92" spans="4:20" x14ac:dyDescent="0.25">
      <c r="D92" s="76"/>
      <c r="E92" s="267"/>
      <c r="F92" s="76"/>
      <c r="H92" s="267"/>
      <c r="K92" s="267"/>
      <c r="N92" s="267"/>
      <c r="Q92" s="267"/>
      <c r="T92" s="267"/>
    </row>
    <row r="93" spans="4:20" x14ac:dyDescent="0.25">
      <c r="D93" s="76"/>
      <c r="E93" s="267"/>
      <c r="F93" s="76"/>
      <c r="H93" s="267"/>
      <c r="K93" s="267"/>
      <c r="N93" s="267"/>
      <c r="Q93" s="267"/>
      <c r="T93" s="267"/>
    </row>
    <row r="94" spans="4:20" x14ac:dyDescent="0.25">
      <c r="D94" s="76"/>
      <c r="E94" s="267"/>
      <c r="F94" s="76"/>
      <c r="H94" s="267"/>
      <c r="K94" s="267"/>
      <c r="N94" s="267"/>
      <c r="Q94" s="267"/>
      <c r="T94" s="267"/>
    </row>
  </sheetData>
  <sheetProtection algorithmName="SHA-512" hashValue="Q4o6ZmkeTmK4ZoH+z0J/GvkM52H3ShDITdmk8MwnVi3yG5TpyjNbMrL5G+qCByXSvpv+P0LC8FcMA/+wkJ0Vfw==" saltValue="pxPepkbGeQvQmVuVgr0EQw==" spinCount="100000" sheet="1" objects="1" scenarios="1"/>
  <sortState ref="S5:S8">
    <sortCondition ref="S5"/>
  </sortState>
  <mergeCells count="1">
    <mergeCell ref="D2:T2"/>
  </mergeCells>
  <hyperlinks>
    <hyperlink ref="P4" r:id="rId1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8"/>
  <sheetViews>
    <sheetView showGridLines="0" showRowColHeaders="0" zoomScaleNormal="100" workbookViewId="0">
      <pane ySplit="5" topLeftCell="A6" activePane="bottomLeft" state="frozen"/>
      <selection pane="bottomLeft" activeCell="AB1" sqref="AB1"/>
    </sheetView>
  </sheetViews>
  <sheetFormatPr defaultRowHeight="15" x14ac:dyDescent="0.25"/>
  <cols>
    <col min="1" max="1" width="1.28515625" customWidth="1"/>
    <col min="2" max="2" width="6.28515625" customWidth="1"/>
    <col min="3" max="3" width="9.140625" customWidth="1"/>
    <col min="4" max="4" width="16.42578125" customWidth="1"/>
    <col min="5" max="5" width="25.42578125" customWidth="1"/>
    <col min="6" max="6" width="8.5703125" customWidth="1"/>
    <col min="7" max="7" width="9.28515625" customWidth="1"/>
    <col min="8" max="8" width="12.5703125" customWidth="1"/>
    <col min="9" max="9" width="9.140625" customWidth="1"/>
  </cols>
  <sheetData>
    <row r="1" spans="2:13" ht="10.5" customHeight="1" thickBot="1" x14ac:dyDescent="0.3"/>
    <row r="2" spans="2:13" ht="29.25" customHeight="1" thickBot="1" x14ac:dyDescent="0.3">
      <c r="B2" s="464" t="s">
        <v>363</v>
      </c>
      <c r="C2" s="465"/>
      <c r="D2" s="465"/>
      <c r="E2" s="465"/>
      <c r="F2" s="465"/>
      <c r="G2" s="465"/>
      <c r="H2" s="466"/>
    </row>
    <row r="3" spans="2:13" ht="9.75" customHeight="1" thickBot="1" x14ac:dyDescent="0.3"/>
    <row r="4" spans="2:13" ht="25.35" customHeight="1" x14ac:dyDescent="0.25">
      <c r="B4" s="409" t="s">
        <v>52</v>
      </c>
      <c r="C4" s="410"/>
      <c r="D4" s="410"/>
      <c r="E4" s="143"/>
      <c r="F4" s="141"/>
      <c r="G4" s="141"/>
      <c r="H4" s="142"/>
    </row>
    <row r="5" spans="2:13" ht="15" customHeight="1" x14ac:dyDescent="0.25">
      <c r="B5" s="490"/>
      <c r="C5" s="491"/>
      <c r="D5" s="491"/>
      <c r="E5" s="153"/>
      <c r="F5" s="149"/>
      <c r="G5" s="149"/>
      <c r="H5" s="154"/>
      <c r="L5" s="178"/>
    </row>
    <row r="6" spans="2:13" x14ac:dyDescent="0.25">
      <c r="B6" s="66" t="s">
        <v>51</v>
      </c>
      <c r="C6" s="65"/>
      <c r="D6" s="65"/>
      <c r="E6" s="65"/>
      <c r="F6" s="65"/>
      <c r="G6" s="65"/>
      <c r="H6" s="192"/>
    </row>
    <row r="7" spans="2:13" ht="15" customHeight="1" x14ac:dyDescent="0.25">
      <c r="B7" s="58"/>
      <c r="C7" s="66" t="s">
        <v>50</v>
      </c>
      <c r="D7" s="65"/>
      <c r="E7" s="65"/>
      <c r="F7" s="65"/>
      <c r="G7" s="65"/>
      <c r="H7" s="64"/>
      <c r="M7" s="178"/>
    </row>
    <row r="8" spans="2:13" ht="15" customHeight="1" x14ac:dyDescent="0.25">
      <c r="B8" s="58"/>
      <c r="C8" s="163"/>
      <c r="D8" s="63" t="s">
        <v>36</v>
      </c>
      <c r="E8" s="63"/>
      <c r="F8" s="168"/>
      <c r="G8" s="62"/>
      <c r="H8" s="193"/>
    </row>
    <row r="9" spans="2:13" x14ac:dyDescent="0.25">
      <c r="B9" s="58"/>
      <c r="C9" s="60"/>
      <c r="D9" s="61" t="s">
        <v>28</v>
      </c>
      <c r="E9" s="61"/>
      <c r="F9" s="169"/>
      <c r="G9" s="165"/>
      <c r="H9" s="194"/>
    </row>
    <row r="10" spans="2:13" x14ac:dyDescent="0.25">
      <c r="B10" s="58"/>
      <c r="C10" s="390" t="s">
        <v>49</v>
      </c>
      <c r="D10" s="391"/>
      <c r="E10" s="391"/>
      <c r="F10" s="391"/>
      <c r="G10" s="391"/>
      <c r="H10" s="392">
        <f>H8+H9</f>
        <v>0</v>
      </c>
    </row>
    <row r="11" spans="2:13" x14ac:dyDescent="0.25">
      <c r="B11" s="362" t="s">
        <v>340</v>
      </c>
      <c r="C11" s="378"/>
      <c r="D11" s="378"/>
      <c r="E11" s="378"/>
      <c r="F11" s="378"/>
      <c r="G11" s="378"/>
      <c r="H11" s="379">
        <f>H6-H10</f>
        <v>0</v>
      </c>
    </row>
    <row r="12" spans="2:13" x14ac:dyDescent="0.25">
      <c r="B12" s="58"/>
      <c r="C12" s="57"/>
      <c r="D12" s="57"/>
      <c r="E12" s="57"/>
      <c r="F12" s="57"/>
      <c r="G12" s="57"/>
      <c r="H12" s="42"/>
    </row>
    <row r="13" spans="2:13" x14ac:dyDescent="0.25">
      <c r="B13" s="492" t="s">
        <v>379</v>
      </c>
      <c r="C13" s="493"/>
      <c r="D13" s="493"/>
      <c r="E13" s="493"/>
      <c r="F13" s="493"/>
      <c r="G13" s="493"/>
      <c r="H13" s="494"/>
    </row>
    <row r="14" spans="2:13" ht="50.25" customHeight="1" x14ac:dyDescent="0.25">
      <c r="B14" s="58"/>
      <c r="C14" s="393" t="s">
        <v>48</v>
      </c>
      <c r="D14" s="394"/>
      <c r="E14" s="394"/>
      <c r="F14" s="395" t="s">
        <v>347</v>
      </c>
      <c r="G14" s="395" t="s">
        <v>346</v>
      </c>
      <c r="H14" s="396" t="s">
        <v>393</v>
      </c>
    </row>
    <row r="15" spans="2:13" x14ac:dyDescent="0.25">
      <c r="B15" s="58"/>
      <c r="C15" s="475" t="s">
        <v>324</v>
      </c>
      <c r="D15" s="476"/>
      <c r="E15" s="476"/>
      <c r="F15" s="479">
        <v>0.5</v>
      </c>
      <c r="G15" s="470">
        <f>IFERROR(H15/$H$22,0)</f>
        <v>0</v>
      </c>
      <c r="H15" s="477">
        <f>$H$11/75*25*F15</f>
        <v>0</v>
      </c>
    </row>
    <row r="16" spans="2:13" ht="15" customHeight="1" x14ac:dyDescent="0.25">
      <c r="B16" s="58"/>
      <c r="C16" s="127" t="s">
        <v>322</v>
      </c>
      <c r="D16" s="57"/>
      <c r="E16" s="195" t="s">
        <v>387</v>
      </c>
      <c r="F16" s="480"/>
      <c r="G16" s="471"/>
      <c r="H16" s="478"/>
    </row>
    <row r="17" spans="2:11" ht="15" customHeight="1" x14ac:dyDescent="0.25">
      <c r="B17" s="58"/>
      <c r="C17" s="475" t="s">
        <v>323</v>
      </c>
      <c r="D17" s="476"/>
      <c r="E17" s="476"/>
      <c r="F17" s="498">
        <f>F19-F15</f>
        <v>0.5</v>
      </c>
      <c r="G17" s="470">
        <f>IFERROR(H17/$H$22,0)</f>
        <v>0</v>
      </c>
      <c r="H17" s="477">
        <f>$H$11/75*25*$F$17</f>
        <v>0</v>
      </c>
    </row>
    <row r="18" spans="2:11" ht="15" customHeight="1" x14ac:dyDescent="0.25">
      <c r="B18" s="58"/>
      <c r="C18" s="128" t="s">
        <v>322</v>
      </c>
      <c r="D18" s="57"/>
      <c r="E18" s="195" t="s">
        <v>387</v>
      </c>
      <c r="F18" s="499"/>
      <c r="G18" s="471"/>
      <c r="H18" s="478"/>
    </row>
    <row r="19" spans="2:11" ht="15" customHeight="1" x14ac:dyDescent="0.25">
      <c r="B19" s="58"/>
      <c r="C19" s="351" t="s">
        <v>23</v>
      </c>
      <c r="D19" s="357"/>
      <c r="E19" s="397"/>
      <c r="F19" s="398">
        <v>1</v>
      </c>
      <c r="G19" s="398">
        <f>SUBTOTAL(9,G15:G18)</f>
        <v>0</v>
      </c>
      <c r="H19" s="358">
        <f>SUBTOTAL(9,H15:H18)</f>
        <v>0</v>
      </c>
      <c r="K19" s="164"/>
    </row>
    <row r="20" spans="2:11" ht="15" customHeight="1" x14ac:dyDescent="0.25">
      <c r="B20" s="58"/>
      <c r="C20" s="475" t="s">
        <v>325</v>
      </c>
      <c r="D20" s="476"/>
      <c r="E20" s="476"/>
      <c r="F20" s="166"/>
      <c r="G20" s="470">
        <f>IFERROR(H20/$H$22,0)</f>
        <v>0</v>
      </c>
      <c r="H20" s="477">
        <f>H11/75*50</f>
        <v>0</v>
      </c>
      <c r="K20" s="164"/>
    </row>
    <row r="21" spans="2:11" ht="15" customHeight="1" x14ac:dyDescent="0.25">
      <c r="B21" s="58"/>
      <c r="C21" s="127" t="s">
        <v>322</v>
      </c>
      <c r="D21" s="129"/>
      <c r="E21" s="196" t="s">
        <v>388</v>
      </c>
      <c r="F21" s="167"/>
      <c r="G21" s="471"/>
      <c r="H21" s="478"/>
      <c r="K21" s="164"/>
    </row>
    <row r="22" spans="2:11" x14ac:dyDescent="0.25">
      <c r="B22" s="60"/>
      <c r="C22" s="380" t="s">
        <v>20</v>
      </c>
      <c r="D22" s="381"/>
      <c r="E22" s="381"/>
      <c r="F22" s="382"/>
      <c r="G22" s="383">
        <f>SUBTOTAL(9,G15:G21)</f>
        <v>0</v>
      </c>
      <c r="H22" s="384">
        <f>SUBTOTAL(9,H15:H21)</f>
        <v>0</v>
      </c>
    </row>
    <row r="23" spans="2:11" x14ac:dyDescent="0.25">
      <c r="B23" s="58"/>
      <c r="C23" s="59"/>
      <c r="D23" s="25"/>
      <c r="E23" s="25"/>
      <c r="F23" s="25"/>
      <c r="G23" s="25"/>
      <c r="H23" s="155"/>
    </row>
    <row r="24" spans="2:11" ht="32.25" customHeight="1" x14ac:dyDescent="0.25">
      <c r="B24" s="495" t="s">
        <v>349</v>
      </c>
      <c r="C24" s="496"/>
      <c r="D24" s="496"/>
      <c r="E24" s="496"/>
      <c r="F24" s="496"/>
      <c r="G24" s="496"/>
      <c r="H24" s="497"/>
    </row>
    <row r="25" spans="2:11" x14ac:dyDescent="0.25">
      <c r="B25" s="60"/>
      <c r="C25" s="129"/>
      <c r="D25" s="129"/>
      <c r="E25" s="129"/>
      <c r="F25" s="129"/>
      <c r="G25" s="129"/>
      <c r="H25" s="156"/>
    </row>
    <row r="26" spans="2:11" ht="23.25" customHeight="1" x14ac:dyDescent="0.25">
      <c r="B26" s="472" t="s">
        <v>47</v>
      </c>
      <c r="C26" s="473"/>
      <c r="D26" s="473"/>
      <c r="E26" s="473"/>
      <c r="F26" s="473"/>
      <c r="G26" s="473"/>
      <c r="H26" s="474"/>
    </row>
    <row r="27" spans="2:11" x14ac:dyDescent="0.25">
      <c r="B27" s="399" t="s">
        <v>46</v>
      </c>
      <c r="C27" s="400"/>
      <c r="D27" s="400"/>
      <c r="E27" s="400"/>
      <c r="F27" s="400"/>
      <c r="G27" s="400"/>
      <c r="H27" s="401"/>
    </row>
    <row r="28" spans="2:11" ht="15" customHeight="1" x14ac:dyDescent="0.25">
      <c r="B28" s="173"/>
      <c r="C28" s="56" t="s">
        <v>43</v>
      </c>
      <c r="D28" s="467" t="str">
        <f>CONCATENATE('OPA Budget '!D8, " ", 'OPA Budget '!D9, " ", "380X", " ",'OPA Budget '!D10)</f>
        <v xml:space="preserve">A105   380X </v>
      </c>
      <c r="E28" s="468"/>
      <c r="F28" s="469"/>
      <c r="G28" s="56" t="s">
        <v>320</v>
      </c>
      <c r="H28" s="197">
        <f>H15</f>
        <v>0</v>
      </c>
    </row>
    <row r="29" spans="2:11" x14ac:dyDescent="0.25">
      <c r="B29" s="58"/>
      <c r="C29" s="56" t="s">
        <v>42</v>
      </c>
      <c r="D29" s="467" t="str">
        <f>E16</f>
        <v>A102-Org-620-0000</v>
      </c>
      <c r="E29" s="468"/>
      <c r="F29" s="469"/>
      <c r="G29" s="56" t="s">
        <v>321</v>
      </c>
      <c r="H29" s="325">
        <f>H28</f>
        <v>0</v>
      </c>
    </row>
    <row r="30" spans="2:11" x14ac:dyDescent="0.25">
      <c r="B30" s="58"/>
      <c r="C30" s="57"/>
      <c r="D30" s="57"/>
      <c r="E30" s="57"/>
      <c r="F30" s="57"/>
      <c r="G30" s="57"/>
      <c r="H30" s="42"/>
    </row>
    <row r="31" spans="2:11" x14ac:dyDescent="0.25">
      <c r="B31" s="399" t="s">
        <v>45</v>
      </c>
      <c r="C31" s="400"/>
      <c r="D31" s="400"/>
      <c r="E31" s="400"/>
      <c r="F31" s="400"/>
      <c r="G31" s="400"/>
      <c r="H31" s="401"/>
    </row>
    <row r="32" spans="2:11" x14ac:dyDescent="0.25">
      <c r="B32" s="58"/>
      <c r="C32" s="56" t="s">
        <v>43</v>
      </c>
      <c r="D32" s="467" t="str">
        <f>CONCATENATE('OPA Budget '!D8," ",'OPA Budget '!D9," ","380X"," ",'OPA Budget '!D10)</f>
        <v xml:space="preserve">A105   380X </v>
      </c>
      <c r="E32" s="468"/>
      <c r="F32" s="469"/>
      <c r="G32" s="56" t="s">
        <v>320</v>
      </c>
      <c r="H32" s="197">
        <f>H17</f>
        <v>0</v>
      </c>
    </row>
    <row r="33" spans="2:8" x14ac:dyDescent="0.25">
      <c r="B33" s="58"/>
      <c r="C33" s="56" t="s">
        <v>42</v>
      </c>
      <c r="D33" s="467" t="str">
        <f>E18</f>
        <v>A102-Org-620-0000</v>
      </c>
      <c r="E33" s="468"/>
      <c r="F33" s="469"/>
      <c r="G33" s="56" t="s">
        <v>321</v>
      </c>
      <c r="H33" s="325">
        <f>H32</f>
        <v>0</v>
      </c>
    </row>
    <row r="34" spans="2:8" x14ac:dyDescent="0.25">
      <c r="B34" s="58"/>
      <c r="C34" s="57"/>
      <c r="D34" s="57"/>
      <c r="E34" s="57"/>
      <c r="F34" s="57"/>
      <c r="G34" s="57"/>
      <c r="H34" s="42"/>
    </row>
    <row r="35" spans="2:8" x14ac:dyDescent="0.25">
      <c r="B35" s="399" t="s">
        <v>44</v>
      </c>
      <c r="C35" s="400"/>
      <c r="D35" s="400"/>
      <c r="E35" s="400"/>
      <c r="F35" s="400"/>
      <c r="G35" s="400"/>
      <c r="H35" s="401"/>
    </row>
    <row r="36" spans="2:8" x14ac:dyDescent="0.25">
      <c r="B36" s="58"/>
      <c r="C36" s="56" t="s">
        <v>43</v>
      </c>
      <c r="D36" s="467" t="str">
        <f>CONCATENATE('OPA Budget '!D8," ",'OPA Budget '!D9," ","380X"," ",'OPA Budget '!D10)</f>
        <v xml:space="preserve">A105   380X </v>
      </c>
      <c r="E36" s="468"/>
      <c r="F36" s="469"/>
      <c r="G36" s="56" t="s">
        <v>320</v>
      </c>
      <c r="H36" s="197">
        <f>H20</f>
        <v>0</v>
      </c>
    </row>
    <row r="37" spans="2:8" x14ac:dyDescent="0.25">
      <c r="B37" s="60"/>
      <c r="C37" s="56" t="s">
        <v>42</v>
      </c>
      <c r="D37" s="467" t="str">
        <f>E21</f>
        <v>A109-Org-620-Prog Code (#)</v>
      </c>
      <c r="E37" s="468"/>
      <c r="F37" s="469"/>
      <c r="G37" s="56" t="s">
        <v>321</v>
      </c>
      <c r="H37" s="325">
        <f>H36</f>
        <v>0</v>
      </c>
    </row>
    <row r="39" spans="2:8" x14ac:dyDescent="0.25">
      <c r="B39" s="481" t="s">
        <v>376</v>
      </c>
      <c r="C39" s="482"/>
      <c r="D39" s="482"/>
      <c r="E39" s="482"/>
      <c r="F39" s="482"/>
      <c r="G39" s="482"/>
      <c r="H39" s="483"/>
    </row>
    <row r="40" spans="2:8" x14ac:dyDescent="0.25">
      <c r="B40" s="385" t="s">
        <v>390</v>
      </c>
      <c r="C40" s="386"/>
      <c r="D40" s="387"/>
      <c r="E40" s="387"/>
      <c r="F40" s="387"/>
      <c r="G40" s="387"/>
      <c r="H40" s="388"/>
    </row>
    <row r="41" spans="2:8" x14ac:dyDescent="0.25">
      <c r="B41" s="58"/>
      <c r="C41" s="217" t="s">
        <v>359</v>
      </c>
      <c r="D41" s="487"/>
      <c r="E41" s="488"/>
      <c r="F41" s="488"/>
      <c r="G41" s="488"/>
      <c r="H41" s="489"/>
    </row>
    <row r="42" spans="2:8" x14ac:dyDescent="0.25">
      <c r="B42" s="58"/>
      <c r="C42" s="56" t="s">
        <v>43</v>
      </c>
      <c r="D42" s="484" t="str">
        <f>CONCATENATE( "A105", " ", 'OPA Budget '!D9, " ",  "119X", " ", 'OPA Budget '!D10)</f>
        <v xml:space="preserve">A105  119X </v>
      </c>
      <c r="E42" s="485"/>
      <c r="F42" s="486"/>
      <c r="G42" s="56" t="s">
        <v>320</v>
      </c>
      <c r="H42" s="197"/>
    </row>
    <row r="43" spans="2:8" x14ac:dyDescent="0.25">
      <c r="B43" s="58"/>
      <c r="C43" s="56" t="s">
        <v>42</v>
      </c>
      <c r="D43" s="484" t="s">
        <v>360</v>
      </c>
      <c r="E43" s="485"/>
      <c r="F43" s="486"/>
      <c r="G43" s="56" t="s">
        <v>321</v>
      </c>
      <c r="H43" s="325">
        <f>H42</f>
        <v>0</v>
      </c>
    </row>
    <row r="44" spans="2:8" x14ac:dyDescent="0.25">
      <c r="B44" s="58"/>
      <c r="C44" s="57"/>
      <c r="D44" s="57"/>
      <c r="E44" s="57"/>
      <c r="F44" s="57"/>
      <c r="G44" s="57"/>
      <c r="H44" s="42"/>
    </row>
    <row r="45" spans="2:8" x14ac:dyDescent="0.25">
      <c r="B45" s="58"/>
      <c r="C45" s="56" t="s">
        <v>359</v>
      </c>
      <c r="D45" s="500"/>
      <c r="E45" s="501"/>
      <c r="F45" s="501"/>
      <c r="G45" s="501"/>
      <c r="H45" s="502"/>
    </row>
    <row r="46" spans="2:8" x14ac:dyDescent="0.25">
      <c r="B46" s="58"/>
      <c r="C46" s="56" t="s">
        <v>43</v>
      </c>
      <c r="D46" s="484" t="str">
        <f>CONCATENATE( "A105", " ", 'OPA Budget '!D9, " ",  "119X", " ", 'OPA Budget '!D10)</f>
        <v xml:space="preserve">A105  119X </v>
      </c>
      <c r="E46" s="485"/>
      <c r="F46" s="486"/>
      <c r="G46" s="56" t="s">
        <v>320</v>
      </c>
      <c r="H46" s="197"/>
    </row>
    <row r="47" spans="2:8" x14ac:dyDescent="0.25">
      <c r="B47" s="58"/>
      <c r="C47" s="56" t="s">
        <v>42</v>
      </c>
      <c r="D47" s="484" t="s">
        <v>360</v>
      </c>
      <c r="E47" s="485"/>
      <c r="F47" s="486"/>
      <c r="G47" s="56" t="s">
        <v>321</v>
      </c>
      <c r="H47" s="325">
        <f>H46</f>
        <v>0</v>
      </c>
    </row>
    <row r="48" spans="2:8" x14ac:dyDescent="0.25">
      <c r="B48" s="58"/>
      <c r="C48" s="57"/>
      <c r="D48" s="57"/>
      <c r="E48" s="57"/>
      <c r="F48" s="57"/>
      <c r="G48" s="57"/>
      <c r="H48" s="42"/>
    </row>
    <row r="49" spans="2:8" x14ac:dyDescent="0.25">
      <c r="B49" s="58"/>
      <c r="C49" s="56" t="s">
        <v>359</v>
      </c>
      <c r="D49" s="500"/>
      <c r="E49" s="501"/>
      <c r="F49" s="501"/>
      <c r="G49" s="501"/>
      <c r="H49" s="502"/>
    </row>
    <row r="50" spans="2:8" x14ac:dyDescent="0.25">
      <c r="B50" s="58"/>
      <c r="C50" s="56" t="s">
        <v>43</v>
      </c>
      <c r="D50" s="484" t="str">
        <f>CONCATENATE( "A105", " ", 'OPA Budget '!D9, " ",  "119X", " ", 'OPA Budget '!D10)</f>
        <v xml:space="preserve">A105  119X </v>
      </c>
      <c r="E50" s="485"/>
      <c r="F50" s="486"/>
      <c r="G50" s="56" t="s">
        <v>320</v>
      </c>
      <c r="H50" s="197"/>
    </row>
    <row r="51" spans="2:8" x14ac:dyDescent="0.25">
      <c r="B51" s="58"/>
      <c r="C51" s="56" t="s">
        <v>42</v>
      </c>
      <c r="D51" s="484" t="s">
        <v>360</v>
      </c>
      <c r="E51" s="485"/>
      <c r="F51" s="486"/>
      <c r="G51" s="56" t="s">
        <v>321</v>
      </c>
      <c r="H51" s="325">
        <f>H50</f>
        <v>0</v>
      </c>
    </row>
    <row r="52" spans="2:8" x14ac:dyDescent="0.25">
      <c r="B52" s="58"/>
      <c r="C52" s="57"/>
      <c r="D52" s="57"/>
      <c r="E52" s="57"/>
      <c r="F52" s="57"/>
      <c r="G52" s="57"/>
      <c r="H52" s="42"/>
    </row>
    <row r="53" spans="2:8" x14ac:dyDescent="0.25">
      <c r="B53" s="58"/>
      <c r="C53" s="56" t="s">
        <v>359</v>
      </c>
      <c r="D53" s="500"/>
      <c r="E53" s="501"/>
      <c r="F53" s="501"/>
      <c r="G53" s="501"/>
      <c r="H53" s="502"/>
    </row>
    <row r="54" spans="2:8" x14ac:dyDescent="0.25">
      <c r="B54" s="58"/>
      <c r="C54" s="56" t="s">
        <v>43</v>
      </c>
      <c r="D54" s="484" t="str">
        <f>CONCATENATE( "A105", " ", 'OPA Budget '!D9, " ",  "119X", " ", 'OPA Budget '!D10)</f>
        <v xml:space="preserve">A105  119X </v>
      </c>
      <c r="E54" s="485"/>
      <c r="F54" s="486"/>
      <c r="G54" s="56" t="s">
        <v>320</v>
      </c>
      <c r="H54" s="197"/>
    </row>
    <row r="55" spans="2:8" x14ac:dyDescent="0.25">
      <c r="B55" s="58"/>
      <c r="C55" s="56" t="s">
        <v>42</v>
      </c>
      <c r="D55" s="484" t="s">
        <v>360</v>
      </c>
      <c r="E55" s="485"/>
      <c r="F55" s="486"/>
      <c r="G55" s="56" t="s">
        <v>321</v>
      </c>
      <c r="H55" s="325">
        <f>H54</f>
        <v>0</v>
      </c>
    </row>
    <row r="56" spans="2:8" x14ac:dyDescent="0.25">
      <c r="B56" s="58"/>
      <c r="C56" s="57"/>
      <c r="D56" s="219"/>
      <c r="E56" s="219"/>
      <c r="F56" s="219"/>
      <c r="G56" s="4"/>
      <c r="H56" s="220"/>
    </row>
    <row r="57" spans="2:8" x14ac:dyDescent="0.25">
      <c r="B57" s="359" t="s">
        <v>389</v>
      </c>
      <c r="C57" s="360"/>
      <c r="D57" s="360"/>
      <c r="E57" s="360"/>
      <c r="F57" s="360"/>
      <c r="G57" s="360"/>
      <c r="H57" s="389"/>
    </row>
    <row r="58" spans="2:8" x14ac:dyDescent="0.25">
      <c r="B58" s="58"/>
      <c r="C58" s="56" t="s">
        <v>359</v>
      </c>
      <c r="D58" s="500"/>
      <c r="E58" s="501"/>
      <c r="F58" s="501"/>
      <c r="G58" s="501"/>
      <c r="H58" s="502"/>
    </row>
    <row r="59" spans="2:8" x14ac:dyDescent="0.25">
      <c r="B59" s="58"/>
      <c r="C59" s="56" t="s">
        <v>43</v>
      </c>
      <c r="D59" s="484" t="str">
        <f>CONCATENATE( "A105", " ", 'OPA Budget '!D9, " ",  "139X", " ", 'OPA Budget '!D10)</f>
        <v xml:space="preserve">A105  139X </v>
      </c>
      <c r="E59" s="485"/>
      <c r="F59" s="486"/>
      <c r="G59" s="56" t="s">
        <v>320</v>
      </c>
      <c r="H59" s="197"/>
    </row>
    <row r="60" spans="2:8" x14ac:dyDescent="0.25">
      <c r="B60" s="58"/>
      <c r="C60" s="56" t="s">
        <v>42</v>
      </c>
      <c r="D60" s="484" t="s">
        <v>391</v>
      </c>
      <c r="E60" s="485"/>
      <c r="F60" s="486"/>
      <c r="G60" s="56" t="s">
        <v>321</v>
      </c>
      <c r="H60" s="325">
        <f>H59</f>
        <v>0</v>
      </c>
    </row>
    <row r="61" spans="2:8" x14ac:dyDescent="0.25">
      <c r="B61" s="58"/>
      <c r="C61" s="57"/>
      <c r="D61" s="57"/>
      <c r="E61" s="57"/>
      <c r="F61" s="57"/>
      <c r="G61" s="57"/>
      <c r="H61" s="42"/>
    </row>
    <row r="62" spans="2:8" x14ac:dyDescent="0.25">
      <c r="B62" s="58"/>
      <c r="C62" s="56" t="s">
        <v>359</v>
      </c>
      <c r="D62" s="500"/>
      <c r="E62" s="501"/>
      <c r="F62" s="501"/>
      <c r="G62" s="501"/>
      <c r="H62" s="502"/>
    </row>
    <row r="63" spans="2:8" x14ac:dyDescent="0.25">
      <c r="B63" s="58"/>
      <c r="C63" s="56" t="s">
        <v>43</v>
      </c>
      <c r="D63" s="484" t="str">
        <f>CONCATENATE( "A105", " ", 'OPA Budget '!D9, " ",  "139X", " ", 'OPA Budget '!D10)</f>
        <v xml:space="preserve">A105  139X </v>
      </c>
      <c r="E63" s="485"/>
      <c r="F63" s="486"/>
      <c r="G63" s="56" t="s">
        <v>320</v>
      </c>
      <c r="H63" s="197"/>
    </row>
    <row r="64" spans="2:8" x14ac:dyDescent="0.25">
      <c r="B64" s="58"/>
      <c r="C64" s="56" t="s">
        <v>42</v>
      </c>
      <c r="D64" s="484" t="s">
        <v>391</v>
      </c>
      <c r="E64" s="485"/>
      <c r="F64" s="486"/>
      <c r="G64" s="56" t="s">
        <v>321</v>
      </c>
      <c r="H64" s="325">
        <f>H63</f>
        <v>0</v>
      </c>
    </row>
    <row r="65" spans="2:8" x14ac:dyDescent="0.25">
      <c r="B65" s="58"/>
      <c r="C65" s="57"/>
      <c r="D65" s="57"/>
      <c r="E65" s="57"/>
      <c r="F65" s="57"/>
      <c r="G65" s="57"/>
      <c r="H65" s="42"/>
    </row>
    <row r="66" spans="2:8" x14ac:dyDescent="0.25">
      <c r="B66" s="58"/>
      <c r="C66" s="56" t="s">
        <v>359</v>
      </c>
      <c r="D66" s="500"/>
      <c r="E66" s="501"/>
      <c r="F66" s="501"/>
      <c r="G66" s="501"/>
      <c r="H66" s="502"/>
    </row>
    <row r="67" spans="2:8" x14ac:dyDescent="0.25">
      <c r="B67" s="58"/>
      <c r="C67" s="56" t="s">
        <v>43</v>
      </c>
      <c r="D67" s="484" t="str">
        <f>CONCATENATE( "A105", " ", 'OPA Budget '!D9, " ",  "139X", " ", 'OPA Budget '!D10)</f>
        <v xml:space="preserve">A105  139X </v>
      </c>
      <c r="E67" s="485"/>
      <c r="F67" s="486"/>
      <c r="G67" s="56" t="s">
        <v>320</v>
      </c>
      <c r="H67" s="197"/>
    </row>
    <row r="68" spans="2:8" x14ac:dyDescent="0.25">
      <c r="B68" s="60"/>
      <c r="C68" s="56" t="s">
        <v>42</v>
      </c>
      <c r="D68" s="484" t="s">
        <v>391</v>
      </c>
      <c r="E68" s="485"/>
      <c r="F68" s="486"/>
      <c r="G68" s="56" t="s">
        <v>321</v>
      </c>
      <c r="H68" s="325">
        <f>H67</f>
        <v>0</v>
      </c>
    </row>
  </sheetData>
  <sheetProtection algorithmName="SHA-512" hashValue="NSmaOTTRKC/PmLCDIu061K1se4J3D7EY7SfqT7uBxEYC9JwKH+EFq2Vx1Zv0MfNdXBrrceDk8cKTDMKw4zbnZQ==" saltValue="qfsBCFvvmPraEgK+TLIfYQ==" spinCount="100000" sheet="1" objects="1" scenarios="1"/>
  <mergeCells count="44">
    <mergeCell ref="D63:F63"/>
    <mergeCell ref="D64:F64"/>
    <mergeCell ref="D66:H66"/>
    <mergeCell ref="D67:F67"/>
    <mergeCell ref="D68:F68"/>
    <mergeCell ref="D58:H58"/>
    <mergeCell ref="D59:F59"/>
    <mergeCell ref="D60:F60"/>
    <mergeCell ref="D62:H62"/>
    <mergeCell ref="D43:F43"/>
    <mergeCell ref="D46:F46"/>
    <mergeCell ref="D47:F47"/>
    <mergeCell ref="D50:F50"/>
    <mergeCell ref="D51:F51"/>
    <mergeCell ref="D54:F54"/>
    <mergeCell ref="D55:F55"/>
    <mergeCell ref="D45:H45"/>
    <mergeCell ref="D53:H53"/>
    <mergeCell ref="D49:H49"/>
    <mergeCell ref="B39:H39"/>
    <mergeCell ref="D42:F42"/>
    <mergeCell ref="D41:H41"/>
    <mergeCell ref="B4:D5"/>
    <mergeCell ref="B13:H13"/>
    <mergeCell ref="B24:H24"/>
    <mergeCell ref="F17:F18"/>
    <mergeCell ref="H17:H18"/>
    <mergeCell ref="H20:H21"/>
    <mergeCell ref="D37:F37"/>
    <mergeCell ref="D36:F36"/>
    <mergeCell ref="D33:F33"/>
    <mergeCell ref="D32:F32"/>
    <mergeCell ref="B2:H2"/>
    <mergeCell ref="D28:F28"/>
    <mergeCell ref="D29:F29"/>
    <mergeCell ref="G15:G16"/>
    <mergeCell ref="G17:G18"/>
    <mergeCell ref="G20:G21"/>
    <mergeCell ref="B26:H26"/>
    <mergeCell ref="C15:E15"/>
    <mergeCell ref="C17:E17"/>
    <mergeCell ref="C20:E20"/>
    <mergeCell ref="H15:H16"/>
    <mergeCell ref="F15:F1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4"/>
  <sheetViews>
    <sheetView workbookViewId="0">
      <pane ySplit="4" topLeftCell="A17" activePane="bottomLeft" state="frozen"/>
      <selection pane="bottomLeft" activeCell="M63" sqref="M63"/>
    </sheetView>
  </sheetViews>
  <sheetFormatPr defaultRowHeight="15" x14ac:dyDescent="0.25"/>
  <cols>
    <col min="1" max="1" width="10.5703125" customWidth="1"/>
    <col min="2" max="2" width="20.85546875" style="294" customWidth="1"/>
    <col min="3" max="3" width="9.42578125" customWidth="1"/>
    <col min="4" max="4" width="11.140625" customWidth="1"/>
    <col min="5" max="5" width="9.7109375" customWidth="1"/>
    <col min="6" max="6" width="12.28515625" customWidth="1"/>
    <col min="7" max="7" width="12.42578125" customWidth="1"/>
    <col min="8" max="8" width="10.7109375" customWidth="1"/>
    <col min="9" max="9" width="10.85546875" customWidth="1"/>
    <col min="11" max="11" width="5.140625" customWidth="1"/>
    <col min="12" max="12" width="18.42578125" customWidth="1"/>
    <col min="13" max="13" width="12.28515625" customWidth="1"/>
    <col min="14" max="14" width="4.42578125" customWidth="1"/>
    <col min="15" max="15" width="23.140625" customWidth="1"/>
    <col min="19" max="19" width="16" customWidth="1"/>
  </cols>
  <sheetData>
    <row r="1" spans="1:21" ht="15.75" thickBot="1" x14ac:dyDescent="0.3">
      <c r="A1" s="326" t="s">
        <v>488</v>
      </c>
    </row>
    <row r="2" spans="1:21" ht="16.5" thickBot="1" x14ac:dyDescent="0.3">
      <c r="A2" s="309" t="s">
        <v>485</v>
      </c>
      <c r="B2" s="310"/>
      <c r="C2" s="311"/>
      <c r="D2" s="311"/>
      <c r="E2" s="311"/>
      <c r="F2" s="311"/>
      <c r="G2" s="311"/>
      <c r="H2" s="311"/>
      <c r="I2" s="316"/>
      <c r="J2" s="312"/>
      <c r="L2" s="95" t="s">
        <v>409</v>
      </c>
      <c r="M2" s="256">
        <f>'Budgeted Staff Costs'!G5</f>
        <v>0</v>
      </c>
      <c r="N2" s="321"/>
    </row>
    <row r="3" spans="1:21" ht="30" x14ac:dyDescent="0.25">
      <c r="A3" s="313" t="s">
        <v>203</v>
      </c>
      <c r="B3" s="314"/>
      <c r="C3" s="315"/>
      <c r="D3" s="315"/>
      <c r="E3" s="315"/>
      <c r="F3" s="287" t="s">
        <v>466</v>
      </c>
      <c r="G3" s="287" t="s">
        <v>60</v>
      </c>
      <c r="I3" s="100"/>
      <c r="J3" s="82"/>
    </row>
    <row r="4" spans="1:21" ht="60" x14ac:dyDescent="0.25">
      <c r="A4" s="2"/>
      <c r="B4" s="293" t="s">
        <v>201</v>
      </c>
      <c r="C4" s="258" t="s">
        <v>53</v>
      </c>
      <c r="D4" s="258" t="s">
        <v>170</v>
      </c>
      <c r="E4" s="292" t="s">
        <v>169</v>
      </c>
      <c r="F4" s="258" t="s">
        <v>468</v>
      </c>
      <c r="G4" s="258" t="s">
        <v>467</v>
      </c>
      <c r="H4" s="258" t="s">
        <v>465</v>
      </c>
      <c r="I4" s="99"/>
      <c r="J4" s="82"/>
      <c r="L4" s="262" t="s">
        <v>414</v>
      </c>
      <c r="M4" s="258" t="s">
        <v>462</v>
      </c>
      <c r="N4" s="322"/>
      <c r="O4" s="258" t="s">
        <v>469</v>
      </c>
      <c r="P4" s="258" t="s">
        <v>474</v>
      </c>
    </row>
    <row r="5" spans="1:21" x14ac:dyDescent="0.25">
      <c r="B5" s="294" t="s">
        <v>173</v>
      </c>
      <c r="C5" s="87">
        <v>185055.64164561636</v>
      </c>
      <c r="D5" s="87">
        <v>13562.111405988891</v>
      </c>
      <c r="E5" s="87">
        <v>31255.459079754786</v>
      </c>
      <c r="F5" s="87">
        <f>C5*1.1818</f>
        <v>218698.75729678941</v>
      </c>
      <c r="G5" s="87">
        <f>C5*1.2568</f>
        <v>232577.93042021061</v>
      </c>
      <c r="H5" s="86">
        <f>G5/52.178571/37.5</f>
        <v>118.86255268544916</v>
      </c>
      <c r="I5" s="98"/>
      <c r="L5" s="248" t="s">
        <v>278</v>
      </c>
      <c r="M5" s="87">
        <f>C5</f>
        <v>185055.64164561636</v>
      </c>
      <c r="N5" s="249"/>
      <c r="O5" s="250" t="s">
        <v>470</v>
      </c>
      <c r="P5" s="323">
        <v>25.68</v>
      </c>
      <c r="S5" t="s">
        <v>476</v>
      </c>
    </row>
    <row r="6" spans="1:21" x14ac:dyDescent="0.25">
      <c r="B6" s="294" t="s">
        <v>174</v>
      </c>
      <c r="C6" s="87">
        <v>158517.83900327553</v>
      </c>
      <c r="D6" s="87">
        <v>11604.550394076621</v>
      </c>
      <c r="E6" s="87">
        <v>26744.032630556845</v>
      </c>
      <c r="F6" s="87">
        <f t="shared" ref="F6:F29" si="0">C6*1.1818</f>
        <v>187336.382134071</v>
      </c>
      <c r="G6" s="87">
        <f t="shared" ref="G6:G29" si="1">C6*1.2568</f>
        <v>199225.22005931666</v>
      </c>
      <c r="H6" s="86">
        <f t="shared" ref="H6:H29" si="2">G6/52.178571/37.5</f>
        <v>101.8171336067274</v>
      </c>
      <c r="I6" s="98"/>
      <c r="L6" s="248" t="s">
        <v>277</v>
      </c>
      <c r="M6" s="87">
        <f t="shared" ref="M6:M29" si="3">C6</f>
        <v>158517.83900327553</v>
      </c>
      <c r="N6" s="249"/>
      <c r="O6" s="250" t="s">
        <v>471</v>
      </c>
      <c r="P6" s="323">
        <v>17</v>
      </c>
      <c r="S6" t="s">
        <v>197</v>
      </c>
    </row>
    <row r="7" spans="1:21" x14ac:dyDescent="0.25">
      <c r="B7" s="294" t="s">
        <v>175</v>
      </c>
      <c r="C7" s="87">
        <v>157718.20666252993</v>
      </c>
      <c r="D7" s="87">
        <v>11545.565514461519</v>
      </c>
      <c r="E7" s="87">
        <v>26608.095132630093</v>
      </c>
      <c r="F7" s="87">
        <f t="shared" si="0"/>
        <v>186391.37663377787</v>
      </c>
      <c r="G7" s="87">
        <f t="shared" si="1"/>
        <v>198220.2421334676</v>
      </c>
      <c r="H7" s="86">
        <f t="shared" si="2"/>
        <v>101.30352407617941</v>
      </c>
      <c r="I7" s="98"/>
      <c r="L7" s="248" t="s">
        <v>279</v>
      </c>
      <c r="M7" s="87">
        <f t="shared" si="3"/>
        <v>157718.20666252993</v>
      </c>
      <c r="N7" s="249"/>
      <c r="O7" s="250"/>
      <c r="P7" s="323">
        <f>P5-P6</f>
        <v>8.68</v>
      </c>
      <c r="S7" t="s">
        <v>477</v>
      </c>
      <c r="T7" s="84">
        <v>69853</v>
      </c>
    </row>
    <row r="8" spans="1:21" x14ac:dyDescent="0.25">
      <c r="B8" s="294" t="s">
        <v>176</v>
      </c>
      <c r="C8" s="87">
        <v>152892.61400755416</v>
      </c>
      <c r="D8" s="87">
        <v>11189.605672267235</v>
      </c>
      <c r="E8" s="87">
        <v>25787.74438128421</v>
      </c>
      <c r="F8" s="87">
        <f t="shared" si="0"/>
        <v>180688.49123412749</v>
      </c>
      <c r="G8" s="87">
        <f t="shared" si="1"/>
        <v>192155.43728469405</v>
      </c>
      <c r="H8" s="86">
        <f t="shared" si="2"/>
        <v>98.204011647971498</v>
      </c>
      <c r="L8" s="248" t="s">
        <v>280</v>
      </c>
      <c r="M8" s="87">
        <f t="shared" si="3"/>
        <v>152892.61400755416</v>
      </c>
      <c r="N8" s="249"/>
      <c r="O8" s="250" t="s">
        <v>472</v>
      </c>
      <c r="P8" s="324">
        <v>9.5</v>
      </c>
      <c r="S8" t="s">
        <v>478</v>
      </c>
      <c r="T8" s="84">
        <v>893.39</v>
      </c>
      <c r="U8" s="170">
        <f>T8/$T$7</f>
        <v>1.2789572387728515E-2</v>
      </c>
    </row>
    <row r="9" spans="1:21" x14ac:dyDescent="0.25">
      <c r="B9" s="294" t="s">
        <v>177</v>
      </c>
      <c r="C9" s="87">
        <v>148070.60086583209</v>
      </c>
      <c r="D9" s="87">
        <v>10833.909872868106</v>
      </c>
      <c r="E9" s="87">
        <v>24968.002147191462</v>
      </c>
      <c r="F9" s="87">
        <f t="shared" si="0"/>
        <v>174989.83610324035</v>
      </c>
      <c r="G9" s="87">
        <f t="shared" si="1"/>
        <v>186095.13116817776</v>
      </c>
      <c r="H9" s="86">
        <f t="shared" si="2"/>
        <v>95.10679836654414</v>
      </c>
      <c r="L9" s="248" t="s">
        <v>281</v>
      </c>
      <c r="M9" s="87">
        <f t="shared" si="3"/>
        <v>148070.60086583209</v>
      </c>
      <c r="N9" s="249"/>
      <c r="O9" s="250" t="s">
        <v>473</v>
      </c>
      <c r="P9" s="324">
        <f>P7+P8</f>
        <v>18.18</v>
      </c>
      <c r="S9" t="s">
        <v>479</v>
      </c>
      <c r="T9" s="84">
        <v>687.22</v>
      </c>
      <c r="U9" s="170">
        <f t="shared" ref="U9:U14" si="4">T9/$T$7</f>
        <v>9.8380885573991095E-3</v>
      </c>
    </row>
    <row r="10" spans="1:21" x14ac:dyDescent="0.25">
      <c r="B10" s="294" t="s">
        <v>178</v>
      </c>
      <c r="C10" s="87">
        <v>138016.38338788773</v>
      </c>
      <c r="D10" s="87">
        <v>10092.260520607542</v>
      </c>
      <c r="E10" s="87">
        <v>23258.78517594092</v>
      </c>
      <c r="F10" s="87">
        <f t="shared" si="0"/>
        <v>163107.76188780571</v>
      </c>
      <c r="G10" s="87">
        <f t="shared" si="1"/>
        <v>173458.99064189728</v>
      </c>
      <c r="H10" s="86">
        <f t="shared" si="2"/>
        <v>88.648903086746628</v>
      </c>
      <c r="L10" s="248" t="s">
        <v>282</v>
      </c>
      <c r="M10" s="87">
        <f t="shared" si="3"/>
        <v>138016.38338788773</v>
      </c>
      <c r="N10" s="249"/>
      <c r="O10" s="250"/>
      <c r="S10" t="s">
        <v>480</v>
      </c>
      <c r="T10" s="84">
        <v>3745.36</v>
      </c>
      <c r="U10" s="170">
        <f t="shared" si="4"/>
        <v>5.3617740111376752E-2</v>
      </c>
    </row>
    <row r="11" spans="1:21" x14ac:dyDescent="0.25">
      <c r="B11" s="294" t="s">
        <v>179</v>
      </c>
      <c r="C11" s="87">
        <v>137416.22002182636</v>
      </c>
      <c r="D11" s="87">
        <v>10047.989469910022</v>
      </c>
      <c r="E11" s="87">
        <v>23156.757403710486</v>
      </c>
      <c r="F11" s="87">
        <f t="shared" si="0"/>
        <v>162398.4888217944</v>
      </c>
      <c r="G11" s="87">
        <f t="shared" si="1"/>
        <v>172704.70532343135</v>
      </c>
      <c r="H11" s="86">
        <f t="shared" si="2"/>
        <v>88.263413895042007</v>
      </c>
      <c r="I11" s="98"/>
      <c r="L11" s="248" t="s">
        <v>283</v>
      </c>
      <c r="M11" s="87">
        <f t="shared" si="3"/>
        <v>137416.22002182636</v>
      </c>
      <c r="N11" s="249"/>
      <c r="O11" s="250"/>
      <c r="S11" t="s">
        <v>169</v>
      </c>
      <c r="T11" s="84">
        <v>11682.79</v>
      </c>
      <c r="U11" s="170">
        <f t="shared" si="4"/>
        <v>0.1672482212646558</v>
      </c>
    </row>
    <row r="12" spans="1:21" x14ac:dyDescent="0.25">
      <c r="B12" s="294" t="s">
        <v>180</v>
      </c>
      <c r="C12" s="87">
        <v>133795.16519273006</v>
      </c>
      <c r="D12" s="87">
        <v>9780.8823604417339</v>
      </c>
      <c r="E12" s="87">
        <v>22541.178082764112</v>
      </c>
      <c r="F12" s="87">
        <f t="shared" si="0"/>
        <v>158119.12622476838</v>
      </c>
      <c r="G12" s="87">
        <f t="shared" si="1"/>
        <v>168153.76361422313</v>
      </c>
      <c r="H12" s="86">
        <f t="shared" si="2"/>
        <v>85.937584665665739</v>
      </c>
      <c r="I12" s="98"/>
      <c r="L12" s="248" t="s">
        <v>284</v>
      </c>
      <c r="M12" s="87">
        <f t="shared" si="3"/>
        <v>133795.16519273006</v>
      </c>
      <c r="N12" s="249"/>
      <c r="O12" s="250"/>
      <c r="S12" t="s">
        <v>481</v>
      </c>
      <c r="T12" s="84">
        <v>636.71</v>
      </c>
      <c r="U12" s="170">
        <f t="shared" si="4"/>
        <v>9.114998640001145E-3</v>
      </c>
    </row>
    <row r="13" spans="1:21" x14ac:dyDescent="0.25">
      <c r="B13" s="294" t="s">
        <v>181</v>
      </c>
      <c r="C13" s="87">
        <v>130179.92244944585</v>
      </c>
      <c r="D13" s="87">
        <v>9514.2039794833745</v>
      </c>
      <c r="E13" s="87">
        <v>21926.586816405797</v>
      </c>
      <c r="F13" s="87">
        <f t="shared" si="0"/>
        <v>153846.6323507551</v>
      </c>
      <c r="G13" s="87">
        <f t="shared" si="1"/>
        <v>163610.12653446352</v>
      </c>
      <c r="H13" s="86">
        <f t="shared" si="2"/>
        <v>83.6154885802774</v>
      </c>
      <c r="I13" s="98"/>
      <c r="L13" s="248" t="s">
        <v>285</v>
      </c>
      <c r="M13" s="87">
        <f t="shared" si="3"/>
        <v>130179.92244944585</v>
      </c>
      <c r="N13" s="249"/>
      <c r="O13" s="250"/>
      <c r="S13" t="s">
        <v>482</v>
      </c>
      <c r="T13" s="84">
        <f>SUM(T8:T12)</f>
        <v>17645.47</v>
      </c>
      <c r="U13" s="170">
        <f t="shared" si="4"/>
        <v>0.25260862096116132</v>
      </c>
    </row>
    <row r="14" spans="1:21" x14ac:dyDescent="0.25">
      <c r="B14" s="294" t="s">
        <v>182</v>
      </c>
      <c r="C14" s="87">
        <v>126561.0384129212</v>
      </c>
      <c r="D14" s="87">
        <v>9247.2569985291339</v>
      </c>
      <c r="E14" s="87">
        <v>21311.376530196609</v>
      </c>
      <c r="F14" s="87">
        <f t="shared" si="0"/>
        <v>149569.83519639028</v>
      </c>
      <c r="G14" s="87">
        <f t="shared" si="1"/>
        <v>159061.91307735935</v>
      </c>
      <c r="H14" s="86">
        <f t="shared" si="2"/>
        <v>81.291053666384414</v>
      </c>
      <c r="I14" s="98"/>
      <c r="L14" s="248" t="s">
        <v>286</v>
      </c>
      <c r="M14" s="87">
        <f t="shared" si="3"/>
        <v>126561.0384129212</v>
      </c>
      <c r="N14" s="249"/>
      <c r="O14" s="250"/>
      <c r="S14" t="s">
        <v>483</v>
      </c>
      <c r="T14" s="84">
        <f>T7+T13</f>
        <v>87498.47</v>
      </c>
      <c r="U14" s="170">
        <f t="shared" si="4"/>
        <v>1.2526086209611613</v>
      </c>
    </row>
    <row r="15" spans="1:21" x14ac:dyDescent="0.25">
      <c r="B15" s="294" t="s">
        <v>183</v>
      </c>
      <c r="C15" s="87">
        <v>122946.8734632859</v>
      </c>
      <c r="D15" s="87">
        <v>8980.6581210192853</v>
      </c>
      <c r="E15" s="87">
        <v>20696.968488758605</v>
      </c>
      <c r="F15" s="87">
        <f t="shared" si="0"/>
        <v>145298.61505891127</v>
      </c>
      <c r="G15" s="87">
        <f t="shared" si="1"/>
        <v>154519.63056865771</v>
      </c>
      <c r="H15" s="86">
        <f t="shared" si="2"/>
        <v>78.969649855510085</v>
      </c>
      <c r="I15" s="98"/>
      <c r="L15" s="248" t="s">
        <v>287</v>
      </c>
      <c r="M15" s="87">
        <f t="shared" si="3"/>
        <v>122946.8734632859</v>
      </c>
      <c r="N15" s="249"/>
      <c r="O15" s="250"/>
      <c r="T15" s="84"/>
    </row>
    <row r="16" spans="1:21" x14ac:dyDescent="0.25">
      <c r="B16" s="294" t="s">
        <v>184</v>
      </c>
      <c r="C16" s="87">
        <v>116309.46587692086</v>
      </c>
      <c r="D16" s="87">
        <v>8491.0497504110681</v>
      </c>
      <c r="E16" s="87">
        <v>19568.609199076549</v>
      </c>
      <c r="F16" s="87">
        <f t="shared" si="0"/>
        <v>137454.52677334507</v>
      </c>
      <c r="G16" s="87">
        <f t="shared" si="1"/>
        <v>146177.73671411414</v>
      </c>
      <c r="H16" s="86">
        <f t="shared" si="2"/>
        <v>74.706395831404507</v>
      </c>
      <c r="I16" s="98"/>
      <c r="L16" s="248" t="s">
        <v>288</v>
      </c>
      <c r="M16" s="87">
        <f t="shared" si="3"/>
        <v>116309.46587692086</v>
      </c>
      <c r="N16" s="249"/>
      <c r="O16" s="250"/>
      <c r="S16" t="s">
        <v>185</v>
      </c>
    </row>
    <row r="17" spans="1:21" x14ac:dyDescent="0.25">
      <c r="B17" s="294" t="s">
        <v>185</v>
      </c>
      <c r="C17" s="87">
        <v>115708.90309160153</v>
      </c>
      <c r="D17" s="87">
        <v>8446.7492365519865</v>
      </c>
      <c r="E17" s="87">
        <v>19466.513525572263</v>
      </c>
      <c r="F17" s="87">
        <f t="shared" si="0"/>
        <v>136744.78167365468</v>
      </c>
      <c r="G17" s="87">
        <f t="shared" si="1"/>
        <v>145422.94940552479</v>
      </c>
      <c r="H17" s="86">
        <f t="shared" si="2"/>
        <v>74.320650089874277</v>
      </c>
      <c r="I17" s="98"/>
      <c r="L17" s="248" t="s">
        <v>289</v>
      </c>
      <c r="M17" s="87">
        <f t="shared" si="3"/>
        <v>115708.90309160153</v>
      </c>
      <c r="N17" s="249"/>
      <c r="O17" s="250"/>
      <c r="S17" t="s">
        <v>477</v>
      </c>
      <c r="T17" s="84">
        <v>112196</v>
      </c>
    </row>
    <row r="18" spans="1:21" x14ac:dyDescent="0.25">
      <c r="B18" s="294" t="s">
        <v>186</v>
      </c>
      <c r="C18" s="87">
        <v>112086.23899658908</v>
      </c>
      <c r="D18" s="87">
        <v>8179.5234195833937</v>
      </c>
      <c r="E18" s="87">
        <v>18850.660629420145</v>
      </c>
      <c r="F18" s="87">
        <f t="shared" si="0"/>
        <v>132463.51724616898</v>
      </c>
      <c r="G18" s="87">
        <f t="shared" si="1"/>
        <v>140869.98517091313</v>
      </c>
      <c r="H18" s="86">
        <f t="shared" si="2"/>
        <v>71.993787217572844</v>
      </c>
      <c r="I18" s="98"/>
      <c r="L18" s="248" t="s">
        <v>290</v>
      </c>
      <c r="M18" s="87">
        <f t="shared" si="3"/>
        <v>112086.23899658908</v>
      </c>
      <c r="N18" s="249"/>
      <c r="O18" s="250"/>
      <c r="S18" t="s">
        <v>478</v>
      </c>
      <c r="T18" s="84">
        <v>1434.97</v>
      </c>
      <c r="U18" s="170">
        <f>T18/$T$17</f>
        <v>1.2789849905522479E-2</v>
      </c>
    </row>
    <row r="19" spans="1:21" x14ac:dyDescent="0.25">
      <c r="B19" s="294" t="s">
        <v>187</v>
      </c>
      <c r="C19" s="87">
        <v>108472.46511016025</v>
      </c>
      <c r="D19" s="87">
        <v>7912.9533888509723</v>
      </c>
      <c r="E19" s="87">
        <v>18236.319068727247</v>
      </c>
      <c r="F19" s="87">
        <f t="shared" si="0"/>
        <v>128192.75926718739</v>
      </c>
      <c r="G19" s="87">
        <f t="shared" si="1"/>
        <v>136328.19415044939</v>
      </c>
      <c r="H19" s="86">
        <f t="shared" si="2"/>
        <v>69.672634589372919</v>
      </c>
      <c r="I19" s="98"/>
      <c r="L19" s="248" t="s">
        <v>291</v>
      </c>
      <c r="M19" s="87">
        <f t="shared" si="3"/>
        <v>108472.46511016025</v>
      </c>
      <c r="N19" s="249"/>
      <c r="O19" s="250"/>
      <c r="S19" t="s">
        <v>479</v>
      </c>
      <c r="T19" s="84">
        <v>1103.82</v>
      </c>
      <c r="U19" s="170">
        <f t="shared" ref="U19:U24" si="5">T19/$T$17</f>
        <v>9.8383186566365997E-3</v>
      </c>
    </row>
    <row r="20" spans="1:21" x14ac:dyDescent="0.25">
      <c r="B20" s="294" t="s">
        <v>188</v>
      </c>
      <c r="C20" s="87">
        <v>104850.04328584527</v>
      </c>
      <c r="D20" s="87">
        <v>7645.7454429803774</v>
      </c>
      <c r="E20" s="87">
        <v>17620.507358593699</v>
      </c>
      <c r="F20" s="87">
        <f t="shared" si="0"/>
        <v>123911.78115521194</v>
      </c>
      <c r="G20" s="87">
        <f t="shared" si="1"/>
        <v>131775.53440165034</v>
      </c>
      <c r="H20" s="86">
        <f t="shared" si="2"/>
        <v>67.345927329260817</v>
      </c>
      <c r="I20" s="98"/>
      <c r="L20" s="248" t="s">
        <v>292</v>
      </c>
      <c r="M20" s="87">
        <f t="shared" si="3"/>
        <v>104850.04328584527</v>
      </c>
      <c r="N20" s="249"/>
      <c r="O20" s="250"/>
      <c r="S20" t="s">
        <v>480</v>
      </c>
      <c r="T20" s="84">
        <v>6015.82</v>
      </c>
      <c r="U20" s="170">
        <f t="shared" si="5"/>
        <v>5.3618845591643191E-2</v>
      </c>
    </row>
    <row r="21" spans="1:21" x14ac:dyDescent="0.25">
      <c r="B21" s="294" t="s">
        <v>189</v>
      </c>
      <c r="C21" s="87">
        <v>101233.44195818754</v>
      </c>
      <c r="D21" s="87">
        <v>7378.9668460457042</v>
      </c>
      <c r="E21" s="87">
        <v>17005.685132891886</v>
      </c>
      <c r="F21" s="87">
        <f t="shared" si="0"/>
        <v>119637.68170618603</v>
      </c>
      <c r="G21" s="87">
        <f t="shared" si="1"/>
        <v>127230.18985305009</v>
      </c>
      <c r="H21" s="86">
        <f t="shared" si="2"/>
        <v>65.022958615482253</v>
      </c>
      <c r="I21" s="98"/>
      <c r="L21" s="248" t="s">
        <v>293</v>
      </c>
      <c r="M21" s="87">
        <f t="shared" si="3"/>
        <v>101233.44195818754</v>
      </c>
      <c r="N21" s="249"/>
      <c r="O21" s="250"/>
      <c r="S21" t="s">
        <v>169</v>
      </c>
      <c r="T21" s="84">
        <v>18764.939999999999</v>
      </c>
      <c r="U21" s="170">
        <f t="shared" si="5"/>
        <v>0.16725141716282219</v>
      </c>
    </row>
    <row r="22" spans="1:21" x14ac:dyDescent="0.25">
      <c r="B22" s="294" t="s">
        <v>190</v>
      </c>
      <c r="C22" s="87">
        <v>93385.853710738855</v>
      </c>
      <c r="D22" s="87">
        <v>6800.2048361033103</v>
      </c>
      <c r="E22" s="87">
        <v>15671.860938623504</v>
      </c>
      <c r="F22" s="87">
        <f t="shared" si="0"/>
        <v>110363.40191535118</v>
      </c>
      <c r="G22" s="87">
        <f t="shared" si="1"/>
        <v>117367.34094365659</v>
      </c>
      <c r="H22" s="86">
        <f t="shared" si="2"/>
        <v>59.982396959424378</v>
      </c>
      <c r="I22" s="98"/>
      <c r="L22" s="248" t="s">
        <v>294</v>
      </c>
      <c r="M22" s="87">
        <f t="shared" si="3"/>
        <v>93385.853710738855</v>
      </c>
      <c r="N22" s="249"/>
      <c r="O22" s="250"/>
      <c r="S22" t="s">
        <v>481</v>
      </c>
      <c r="T22" s="84">
        <v>1022</v>
      </c>
      <c r="U22" s="170">
        <f t="shared" si="5"/>
        <v>9.1090591464936359E-3</v>
      </c>
    </row>
    <row r="23" spans="1:21" x14ac:dyDescent="0.25">
      <c r="B23" s="294" t="s">
        <v>191</v>
      </c>
      <c r="C23" s="87">
        <v>92859.910970986981</v>
      </c>
      <c r="D23" s="87">
        <v>6761.9065476553369</v>
      </c>
      <c r="E23" s="87">
        <v>15583.598089899102</v>
      </c>
      <c r="F23" s="87">
        <f t="shared" si="0"/>
        <v>109741.84278551242</v>
      </c>
      <c r="G23" s="87">
        <f t="shared" si="1"/>
        <v>116706.33610833643</v>
      </c>
      <c r="H23" s="86">
        <f t="shared" si="2"/>
        <v>59.644580203029548</v>
      </c>
      <c r="I23" s="98"/>
      <c r="L23" s="248" t="s">
        <v>295</v>
      </c>
      <c r="M23" s="87">
        <f t="shared" si="3"/>
        <v>92859.910970986981</v>
      </c>
      <c r="N23" s="249"/>
      <c r="O23" s="250"/>
      <c r="S23" t="s">
        <v>482</v>
      </c>
      <c r="T23" s="84">
        <f>SUM(T18:T22)</f>
        <v>28341.55</v>
      </c>
      <c r="U23" s="170">
        <f t="shared" si="5"/>
        <v>0.25260749046311809</v>
      </c>
    </row>
    <row r="24" spans="1:21" x14ac:dyDescent="0.25">
      <c r="B24" s="294" t="s">
        <v>192</v>
      </c>
      <c r="C24" s="87">
        <v>89685.127158531264</v>
      </c>
      <c r="D24" s="87">
        <v>6530.7239929408279</v>
      </c>
      <c r="E24" s="87">
        <v>15050.8110730013</v>
      </c>
      <c r="F24" s="87">
        <f t="shared" si="0"/>
        <v>105989.88327595225</v>
      </c>
      <c r="G24" s="87">
        <f t="shared" si="1"/>
        <v>112716.26781284208</v>
      </c>
      <c r="H24" s="86">
        <f t="shared" si="2"/>
        <v>57.605394016554975</v>
      </c>
      <c r="I24" s="98"/>
      <c r="L24" s="248" t="s">
        <v>296</v>
      </c>
      <c r="M24" s="87">
        <f t="shared" si="3"/>
        <v>89685.127158531264</v>
      </c>
      <c r="N24" s="249"/>
      <c r="O24" s="250"/>
      <c r="S24" t="s">
        <v>483</v>
      </c>
      <c r="T24" s="84">
        <f>T17+T23</f>
        <v>140537.54999999999</v>
      </c>
      <c r="U24" s="170">
        <f t="shared" si="5"/>
        <v>1.2526074904631179</v>
      </c>
    </row>
    <row r="25" spans="1:21" x14ac:dyDescent="0.25">
      <c r="B25" s="294" t="s">
        <v>193</v>
      </c>
      <c r="C25" s="87">
        <v>86508.508369950432</v>
      </c>
      <c r="D25" s="87">
        <v>6299.4078182718595</v>
      </c>
      <c r="E25" s="87">
        <v>14517.716113417151</v>
      </c>
      <c r="F25" s="87">
        <f t="shared" si="0"/>
        <v>102235.75519160742</v>
      </c>
      <c r="G25" s="87">
        <f t="shared" si="1"/>
        <v>108723.89331935369</v>
      </c>
      <c r="H25" s="86">
        <f t="shared" si="2"/>
        <v>55.565029211885317</v>
      </c>
      <c r="I25" s="98"/>
      <c r="L25" s="248" t="s">
        <v>297</v>
      </c>
      <c r="M25" s="87">
        <f t="shared" si="3"/>
        <v>86508.508369950432</v>
      </c>
      <c r="N25" s="249"/>
      <c r="O25" s="250"/>
      <c r="T25" s="84"/>
    </row>
    <row r="26" spans="1:21" x14ac:dyDescent="0.25">
      <c r="B26" s="294" t="s">
        <v>194</v>
      </c>
      <c r="C26" s="87">
        <v>83331.672857806232</v>
      </c>
      <c r="D26" s="87">
        <v>6068.0758621481509</v>
      </c>
      <c r="E26" s="87">
        <v>13984.584783639744</v>
      </c>
      <c r="F26" s="87">
        <f t="shared" si="0"/>
        <v>98481.370983355402</v>
      </c>
      <c r="G26" s="87">
        <f t="shared" si="1"/>
        <v>104731.24644769086</v>
      </c>
      <c r="H26" s="86">
        <f t="shared" si="2"/>
        <v>53.524525204131976</v>
      </c>
      <c r="I26" s="98"/>
      <c r="L26" s="248" t="s">
        <v>298</v>
      </c>
      <c r="M26" s="87">
        <f t="shared" si="3"/>
        <v>83331.672857806232</v>
      </c>
      <c r="N26" s="249"/>
      <c r="O26" s="250"/>
      <c r="T26" s="84"/>
    </row>
    <row r="27" spans="1:21" x14ac:dyDescent="0.25">
      <c r="B27" s="294" t="s">
        <v>195</v>
      </c>
      <c r="C27" s="87">
        <v>80033.072922573003</v>
      </c>
      <c r="D27" s="87">
        <v>5827.8772202700875</v>
      </c>
      <c r="E27" s="87">
        <v>13431.019147914525</v>
      </c>
      <c r="F27" s="87">
        <f t="shared" si="0"/>
        <v>94583.085579896768</v>
      </c>
      <c r="G27" s="87">
        <f t="shared" si="1"/>
        <v>100585.56604908974</v>
      </c>
      <c r="H27" s="86">
        <f t="shared" si="2"/>
        <v>51.405811042794937</v>
      </c>
      <c r="I27" s="98"/>
      <c r="L27" s="248" t="s">
        <v>299</v>
      </c>
      <c r="M27" s="87">
        <f t="shared" si="3"/>
        <v>80033.072922573003</v>
      </c>
      <c r="N27" s="249"/>
      <c r="O27" s="250"/>
      <c r="T27" s="84"/>
    </row>
    <row r="28" spans="1:21" x14ac:dyDescent="0.25">
      <c r="B28" s="294" t="s">
        <v>196</v>
      </c>
      <c r="C28" s="87">
        <v>76120.838298844334</v>
      </c>
      <c r="D28" s="87">
        <v>5542.9947059370706</v>
      </c>
      <c r="E28" s="87">
        <v>12774.474344327286</v>
      </c>
      <c r="F28" s="87">
        <f t="shared" si="0"/>
        <v>89959.60670157423</v>
      </c>
      <c r="G28" s="87">
        <f t="shared" si="1"/>
        <v>95668.669573987558</v>
      </c>
      <c r="H28" s="86">
        <f t="shared" si="2"/>
        <v>48.892954963695765</v>
      </c>
      <c r="I28" s="98"/>
      <c r="L28" s="248" t="s">
        <v>300</v>
      </c>
      <c r="M28" s="87">
        <f t="shared" si="3"/>
        <v>76120.838298844334</v>
      </c>
      <c r="N28" s="249"/>
      <c r="O28" s="250"/>
      <c r="T28" s="84"/>
    </row>
    <row r="29" spans="1:21" x14ac:dyDescent="0.25">
      <c r="B29" s="294" t="s">
        <v>197</v>
      </c>
      <c r="C29" s="87">
        <v>72212.851001807197</v>
      </c>
      <c r="D29" s="87">
        <v>5258.4214749736511</v>
      </c>
      <c r="E29" s="87">
        <v>12118.642320145336</v>
      </c>
      <c r="F29" s="87">
        <f t="shared" si="0"/>
        <v>85341.14731393574</v>
      </c>
      <c r="G29" s="87">
        <f t="shared" si="1"/>
        <v>90757.111139071276</v>
      </c>
      <c r="H29" s="86">
        <f t="shared" si="2"/>
        <v>46.382826972690268</v>
      </c>
      <c r="I29" s="98"/>
      <c r="L29" s="248" t="s">
        <v>301</v>
      </c>
      <c r="M29" s="87">
        <f t="shared" si="3"/>
        <v>72212.851001807197</v>
      </c>
      <c r="N29" s="249"/>
      <c r="O29" s="250"/>
      <c r="T29" s="84"/>
    </row>
    <row r="30" spans="1:21" x14ac:dyDescent="0.25">
      <c r="T30" s="84"/>
    </row>
    <row r="31" spans="1:21" hidden="1" x14ac:dyDescent="0.25">
      <c r="A31" s="2" t="s">
        <v>198</v>
      </c>
      <c r="B31" s="295" t="s">
        <v>197</v>
      </c>
      <c r="C31" s="257">
        <v>35.23470443592619</v>
      </c>
      <c r="D31" s="257">
        <v>2.4235598404089309</v>
      </c>
      <c r="E31" s="257">
        <v>3.3043404949782698</v>
      </c>
      <c r="F31" s="257">
        <v>40.962604771313387</v>
      </c>
      <c r="G31" s="81"/>
      <c r="H31" s="81"/>
      <c r="I31" s="81"/>
    </row>
    <row r="32" spans="1:21" hidden="1" x14ac:dyDescent="0.25">
      <c r="A32" s="2"/>
      <c r="B32" s="295" t="s">
        <v>196</v>
      </c>
      <c r="C32" s="257">
        <v>37.155339538408761</v>
      </c>
      <c r="D32" s="257">
        <v>2.5556674932749024</v>
      </c>
      <c r="E32" s="257">
        <v>3.4844592854381355</v>
      </c>
      <c r="F32" s="257">
        <v>43.195466317121799</v>
      </c>
      <c r="G32" s="81"/>
      <c r="H32" s="81"/>
      <c r="I32" s="81"/>
    </row>
    <row r="33" spans="1:9" hidden="1" x14ac:dyDescent="0.25">
      <c r="A33" s="2"/>
      <c r="B33" s="295" t="s">
        <v>195</v>
      </c>
      <c r="C33" s="257">
        <v>39.078034678829106</v>
      </c>
      <c r="D33" s="257">
        <v>2.6879168423831339</v>
      </c>
      <c r="E33" s="257">
        <v>3.6647712680047029</v>
      </c>
      <c r="F33" s="257">
        <v>45.430722789216937</v>
      </c>
      <c r="G33" s="81"/>
      <c r="H33" s="81"/>
      <c r="I33" s="81"/>
    </row>
    <row r="34" spans="1:9" hidden="1" x14ac:dyDescent="0.25">
      <c r="A34" s="2"/>
      <c r="B34" s="295" t="s">
        <v>194</v>
      </c>
      <c r="C34" s="257">
        <v>40.698049787311156</v>
      </c>
      <c r="D34" s="257">
        <v>2.7993468549411382</v>
      </c>
      <c r="E34" s="257">
        <v>3.8166976602118057</v>
      </c>
      <c r="F34" s="257">
        <v>47.314094302464099</v>
      </c>
      <c r="G34" s="81"/>
      <c r="H34" s="81"/>
      <c r="I34" s="81"/>
    </row>
    <row r="35" spans="1:9" hidden="1" x14ac:dyDescent="0.25">
      <c r="A35" s="2"/>
      <c r="B35" s="295" t="s">
        <v>193</v>
      </c>
      <c r="C35" s="257">
        <v>42.259266374973841</v>
      </c>
      <c r="D35" s="257">
        <v>2.9067325102095158</v>
      </c>
      <c r="E35" s="257">
        <v>3.9631098772186721</v>
      </c>
      <c r="F35" s="257">
        <v>49.129108762402034</v>
      </c>
      <c r="G35" s="81"/>
      <c r="H35" s="81"/>
      <c r="I35" s="81"/>
    </row>
    <row r="36" spans="1:9" hidden="1" x14ac:dyDescent="0.25">
      <c r="A36" s="2"/>
      <c r="B36" s="295" t="s">
        <v>192</v>
      </c>
      <c r="C36" s="257">
        <v>43.82048296263654</v>
      </c>
      <c r="D36" s="257">
        <v>3.0141181654778944</v>
      </c>
      <c r="E36" s="257">
        <v>4.1095220942255386</v>
      </c>
      <c r="F36" s="257">
        <v>50.944123222339968</v>
      </c>
      <c r="G36" s="81"/>
      <c r="H36" s="81"/>
      <c r="I36" s="81"/>
    </row>
    <row r="37" spans="1:9" hidden="1" x14ac:dyDescent="0.25">
      <c r="A37" s="2"/>
      <c r="B37" s="295" t="s">
        <v>191</v>
      </c>
      <c r="C37" s="257">
        <v>45.380717180050603</v>
      </c>
      <c r="D37" s="257">
        <v>3.121436250062168</v>
      </c>
      <c r="E37" s="257">
        <v>4.255842183716493</v>
      </c>
      <c r="F37" s="257">
        <v>52.757995613829266</v>
      </c>
      <c r="G37" s="81"/>
      <c r="H37" s="81"/>
      <c r="I37" s="81"/>
    </row>
    <row r="38" spans="1:9" hidden="1" x14ac:dyDescent="0.25">
      <c r="A38" s="2"/>
      <c r="B38" s="295" t="s">
        <v>190</v>
      </c>
      <c r="C38" s="257">
        <v>45.634208371913623</v>
      </c>
      <c r="D38" s="257">
        <v>3.1388722150385102</v>
      </c>
      <c r="E38" s="257">
        <v>4.2796148028941694</v>
      </c>
      <c r="F38" s="257">
        <v>53.052695389846299</v>
      </c>
      <c r="G38" s="81"/>
      <c r="H38" s="81"/>
      <c r="I38" s="81"/>
    </row>
    <row r="39" spans="1:9" hidden="1" x14ac:dyDescent="0.25">
      <c r="A39" s="2"/>
      <c r="B39" s="295" t="s">
        <v>189</v>
      </c>
      <c r="C39" s="257">
        <v>49.546043439480364</v>
      </c>
      <c r="D39" s="257">
        <v>3.407941206075412</v>
      </c>
      <c r="E39" s="257">
        <v>4.6464700165356705</v>
      </c>
      <c r="F39" s="257">
        <v>57.600454662091444</v>
      </c>
      <c r="G39" s="81"/>
      <c r="H39" s="81"/>
      <c r="I39" s="81"/>
    </row>
    <row r="40" spans="1:9" hidden="1" x14ac:dyDescent="0.25">
      <c r="A40" s="2"/>
      <c r="B40" s="295" t="s">
        <v>188</v>
      </c>
      <c r="C40" s="257">
        <v>51.346640211047301</v>
      </c>
      <c r="D40" s="257">
        <v>3.5317922243882016</v>
      </c>
      <c r="E40" s="257">
        <v>4.8153315104141106</v>
      </c>
      <c r="F40" s="257">
        <v>59.693763945849604</v>
      </c>
      <c r="G40" s="81"/>
      <c r="H40" s="81"/>
      <c r="I40" s="81"/>
    </row>
    <row r="41" spans="1:9" hidden="1" x14ac:dyDescent="0.25">
      <c r="A41" s="2"/>
      <c r="B41" s="295" t="s">
        <v>187</v>
      </c>
      <c r="C41" s="257">
        <v>53.150088795919565</v>
      </c>
      <c r="D41" s="257">
        <v>3.6558393998792549</v>
      </c>
      <c r="E41" s="257">
        <v>4.9844604497654075</v>
      </c>
      <c r="F41" s="257">
        <v>61.790388645564228</v>
      </c>
      <c r="G41" s="81"/>
      <c r="H41" s="81"/>
      <c r="I41" s="81"/>
    </row>
    <row r="42" spans="1:9" hidden="1" x14ac:dyDescent="0.25">
      <c r="A42" s="2"/>
      <c r="B42" s="295" t="s">
        <v>186</v>
      </c>
      <c r="C42" s="257">
        <v>54.949197314192013</v>
      </c>
      <c r="D42" s="257">
        <v>3.7795880511940911</v>
      </c>
      <c r="E42" s="257">
        <v>5.153182373986418</v>
      </c>
      <c r="F42" s="257">
        <v>63.88196773937252</v>
      </c>
      <c r="G42" s="81"/>
      <c r="H42" s="81"/>
      <c r="I42" s="81"/>
    </row>
    <row r="43" spans="1:9" hidden="1" x14ac:dyDescent="0.25">
      <c r="A43" s="2"/>
      <c r="B43" s="295" t="s">
        <v>185</v>
      </c>
      <c r="C43" s="257">
        <v>56.7527558944264</v>
      </c>
      <c r="D43" s="257">
        <v>3.903642792530992</v>
      </c>
      <c r="E43" s="257">
        <v>5.322321628796157</v>
      </c>
      <c r="F43" s="257">
        <v>65.978720315753549</v>
      </c>
      <c r="G43" s="81"/>
      <c r="H43" s="81"/>
      <c r="I43" s="81"/>
    </row>
    <row r="44" spans="1:9" hidden="1" x14ac:dyDescent="0.25">
      <c r="A44" s="2"/>
      <c r="B44" s="295" t="s">
        <v>184</v>
      </c>
      <c r="C44" s="257">
        <v>57.045986118998776</v>
      </c>
      <c r="D44" s="257">
        <v>3.9238121399867096</v>
      </c>
      <c r="E44" s="257">
        <v>5.3498210081983046</v>
      </c>
      <c r="F44" s="257">
        <v>66.319619267183796</v>
      </c>
      <c r="G44" s="81"/>
      <c r="H44" s="81"/>
      <c r="I44" s="81"/>
    </row>
    <row r="45" spans="1:9" hidden="1" x14ac:dyDescent="0.25">
      <c r="A45" s="2"/>
      <c r="B45" s="295" t="s">
        <v>183</v>
      </c>
      <c r="C45" s="257">
        <v>60.356009475498084</v>
      </c>
      <c r="D45" s="257">
        <v>4.1514865253988331</v>
      </c>
      <c r="E45" s="257">
        <v>5.6602378086597414</v>
      </c>
      <c r="F45" s="257">
        <v>70.167733809556665</v>
      </c>
      <c r="G45" s="81"/>
      <c r="H45" s="81"/>
      <c r="I45" s="81"/>
    </row>
    <row r="46" spans="1:9" hidden="1" x14ac:dyDescent="0.25">
      <c r="A46" s="2"/>
      <c r="B46" s="295" t="s">
        <v>182</v>
      </c>
      <c r="C46" s="257">
        <v>62.155308588651643</v>
      </c>
      <c r="D46" s="257">
        <v>4.275248286461772</v>
      </c>
      <c r="E46" s="257">
        <v>5.8289776070305086</v>
      </c>
      <c r="F46" s="257">
        <v>72.25953448214392</v>
      </c>
      <c r="G46" s="81"/>
      <c r="H46" s="81"/>
      <c r="I46" s="81"/>
    </row>
    <row r="47" spans="1:9" hidden="1" x14ac:dyDescent="0.25">
      <c r="A47" s="2"/>
      <c r="B47" s="295" t="s">
        <v>181</v>
      </c>
      <c r="C47" s="257">
        <v>63.956902428388752</v>
      </c>
      <c r="D47" s="257">
        <v>4.3991678864304609</v>
      </c>
      <c r="E47" s="257">
        <v>5.9979326068084218</v>
      </c>
      <c r="F47" s="257">
        <v>74.354002921627639</v>
      </c>
      <c r="G47" s="81"/>
      <c r="H47" s="81"/>
      <c r="I47" s="81"/>
    </row>
    <row r="48" spans="1:9" hidden="1" x14ac:dyDescent="0.25">
      <c r="A48" s="2"/>
      <c r="B48" s="295" t="s">
        <v>180</v>
      </c>
      <c r="C48" s="257">
        <v>65.756707424588186</v>
      </c>
      <c r="D48" s="257">
        <v>4.5229644438072487</v>
      </c>
      <c r="E48" s="257">
        <v>6.1667198473207083</v>
      </c>
      <c r="F48" s="257">
        <v>76.446391715716132</v>
      </c>
      <c r="G48" s="81"/>
      <c r="H48" s="81"/>
      <c r="I48" s="81"/>
    </row>
    <row r="49" spans="1:15" hidden="1" x14ac:dyDescent="0.25">
      <c r="A49" s="2"/>
      <c r="B49" s="295" t="s">
        <v>179</v>
      </c>
      <c r="C49" s="257">
        <v>67.559474229455049</v>
      </c>
      <c r="D49" s="257">
        <v>4.6469647242081482</v>
      </c>
      <c r="E49" s="257">
        <v>6.3357848487642929</v>
      </c>
      <c r="F49" s="257">
        <v>78.542223802427486</v>
      </c>
      <c r="G49" s="81"/>
      <c r="H49" s="81"/>
      <c r="I49" s="81"/>
    </row>
    <row r="50" spans="1:15" hidden="1" x14ac:dyDescent="0.25">
      <c r="A50" s="2"/>
      <c r="B50" s="295" t="s">
        <v>178</v>
      </c>
      <c r="C50" s="257">
        <v>67.852513859146342</v>
      </c>
      <c r="D50" s="257">
        <v>4.6671209619157628</v>
      </c>
      <c r="E50" s="257">
        <v>6.3632663540166847</v>
      </c>
      <c r="F50" s="257">
        <v>78.882901175078786</v>
      </c>
      <c r="G50" s="81"/>
      <c r="H50" s="81"/>
      <c r="I50" s="81"/>
    </row>
    <row r="51" spans="1:15" hidden="1" x14ac:dyDescent="0.25">
      <c r="A51" s="2"/>
      <c r="B51" s="295" t="s">
        <v>177</v>
      </c>
      <c r="C51" s="257">
        <v>72.865630007608345</v>
      </c>
      <c r="D51" s="257">
        <v>5.0119397185144425</v>
      </c>
      <c r="E51" s="257">
        <v>6.8334006423719575</v>
      </c>
      <c r="F51" s="257">
        <v>84.710970368494742</v>
      </c>
      <c r="G51" s="81"/>
      <c r="H51" s="81"/>
      <c r="I51" s="81"/>
    </row>
    <row r="52" spans="1:15" hidden="1" x14ac:dyDescent="0.25">
      <c r="A52" s="2"/>
      <c r="B52" s="295" t="s">
        <v>176</v>
      </c>
      <c r="C52" s="257">
        <v>75.26619844302914</v>
      </c>
      <c r="D52" s="257">
        <v>5.1770587779014443</v>
      </c>
      <c r="E52" s="257">
        <v>7.0585279882406402</v>
      </c>
      <c r="F52" s="257">
        <v>87.501785209171217</v>
      </c>
      <c r="G52" s="81"/>
      <c r="H52" s="81"/>
      <c r="I52" s="81"/>
    </row>
    <row r="53" spans="1:15" hidden="1" x14ac:dyDescent="0.25">
      <c r="A53" s="2"/>
      <c r="B53" s="295" t="s">
        <v>175</v>
      </c>
      <c r="C53" s="257">
        <v>77.668636321506639</v>
      </c>
      <c r="D53" s="257">
        <v>5.3423064237826052</v>
      </c>
      <c r="E53" s="257">
        <v>7.2838306520662703</v>
      </c>
      <c r="F53" s="257">
        <v>90.294773397355527</v>
      </c>
      <c r="G53" s="81"/>
      <c r="H53" s="81"/>
      <c r="I53" s="81"/>
    </row>
    <row r="54" spans="1:15" hidden="1" x14ac:dyDescent="0.25">
      <c r="A54" s="2"/>
      <c r="B54" s="295" t="s">
        <v>174</v>
      </c>
      <c r="C54" s="257">
        <v>78.059069935440036</v>
      </c>
      <c r="D54" s="257">
        <v>5.3691617427706051</v>
      </c>
      <c r="E54" s="257">
        <v>7.3204458478448204</v>
      </c>
      <c r="F54" s="257">
        <v>90.748677526055445</v>
      </c>
      <c r="G54" s="81"/>
      <c r="H54" s="81"/>
      <c r="I54" s="81"/>
    </row>
    <row r="55" spans="1:15" hidden="1" x14ac:dyDescent="0.25">
      <c r="A55" s="2"/>
      <c r="B55" s="295" t="s">
        <v>173</v>
      </c>
      <c r="C55" s="257">
        <v>91.270762674086697</v>
      </c>
      <c r="D55" s="257">
        <v>6.2779057909414373</v>
      </c>
      <c r="E55" s="257">
        <v>8.5594496091196799</v>
      </c>
      <c r="F55" s="257">
        <v>106.10811807414781</v>
      </c>
      <c r="G55" s="81"/>
      <c r="H55" s="81"/>
      <c r="I55" s="81"/>
    </row>
    <row r="56" spans="1:15" x14ac:dyDescent="0.25">
      <c r="C56" s="81"/>
      <c r="D56" s="81"/>
      <c r="E56" s="81"/>
      <c r="F56" s="81"/>
      <c r="G56" s="81"/>
      <c r="H56" s="81"/>
      <c r="I56" s="81"/>
      <c r="O56" s="80"/>
    </row>
    <row r="57" spans="1:15" s="35" customFormat="1" ht="30" x14ac:dyDescent="0.25">
      <c r="A57" s="298" t="s">
        <v>172</v>
      </c>
      <c r="B57" s="299"/>
      <c r="C57" s="300"/>
      <c r="D57" s="300"/>
      <c r="E57" s="300"/>
      <c r="F57" s="258" t="s">
        <v>464</v>
      </c>
      <c r="G57" s="258" t="s">
        <v>60</v>
      </c>
      <c r="I57" s="258" t="s">
        <v>59</v>
      </c>
      <c r="J57" s="301"/>
    </row>
    <row r="58" spans="1:15" ht="64.5" customHeight="1" x14ac:dyDescent="0.25">
      <c r="A58" s="258" t="s">
        <v>463</v>
      </c>
      <c r="B58" s="293" t="s">
        <v>201</v>
      </c>
      <c r="C58" s="258" t="s">
        <v>53</v>
      </c>
      <c r="D58" s="258" t="s">
        <v>170</v>
      </c>
      <c r="E58" s="292" t="s">
        <v>169</v>
      </c>
      <c r="F58" s="258" t="s">
        <v>168</v>
      </c>
      <c r="G58" s="258" t="s">
        <v>167</v>
      </c>
      <c r="H58" s="258" t="s">
        <v>166</v>
      </c>
      <c r="I58" s="258" t="s">
        <v>165</v>
      </c>
      <c r="J58" s="258" t="s">
        <v>461</v>
      </c>
    </row>
    <row r="59" spans="1:15" x14ac:dyDescent="0.25">
      <c r="B59" s="294">
        <v>4.0999999999999996</v>
      </c>
      <c r="C59" s="87">
        <v>63818.206533239994</v>
      </c>
      <c r="D59" s="87">
        <v>4647.137221050788</v>
      </c>
      <c r="E59" s="87">
        <v>10709.866841708588</v>
      </c>
      <c r="F59" s="87">
        <f>C59*1.1818</f>
        <v>75420.356480983028</v>
      </c>
      <c r="G59" s="87">
        <f>C59*1.2568</f>
        <v>80206.721970976025</v>
      </c>
      <c r="H59" s="86">
        <f>G59/52.178571/35</f>
        <v>43.918807737033887</v>
      </c>
      <c r="I59" s="86">
        <f>H59*1.267551</f>
        <v>55.669328665885047</v>
      </c>
      <c r="J59" s="307"/>
      <c r="K59" s="170"/>
    </row>
    <row r="60" spans="1:15" x14ac:dyDescent="0.25">
      <c r="B60" s="294">
        <v>4.2</v>
      </c>
      <c r="C60" s="87">
        <v>65761.253835617608</v>
      </c>
      <c r="D60" s="87">
        <v>4788.626741544258</v>
      </c>
      <c r="E60" s="87">
        <v>11035.94585592793</v>
      </c>
      <c r="F60" s="87">
        <f t="shared" ref="F60:F110" si="6">C60*1.1818</f>
        <v>77716.649782932887</v>
      </c>
      <c r="G60" s="87">
        <f t="shared" ref="G60:G85" si="7">C60*1.2568</f>
        <v>82648.743820604199</v>
      </c>
      <c r="H60" s="86">
        <f t="shared" ref="H60:H88" si="8">G60/52.178571/35</f>
        <v>45.25598603665653</v>
      </c>
      <c r="I60" s="86">
        <f t="shared" ref="I60:I85" si="9">H60*1.267551</f>
        <v>57.364270356750026</v>
      </c>
      <c r="J60" s="2"/>
    </row>
    <row r="61" spans="1:15" x14ac:dyDescent="0.25">
      <c r="B61" s="294">
        <v>4.3</v>
      </c>
      <c r="C61" s="87">
        <v>67611.784252020487</v>
      </c>
      <c r="D61" s="87">
        <v>4923.3793340081847</v>
      </c>
      <c r="E61" s="87">
        <v>11346.49883795013</v>
      </c>
      <c r="F61" s="87">
        <f t="shared" si="6"/>
        <v>79903.606629037808</v>
      </c>
      <c r="G61" s="87">
        <f t="shared" si="7"/>
        <v>84974.490447939344</v>
      </c>
      <c r="H61" s="86">
        <f t="shared" si="8"/>
        <v>46.529495493980441</v>
      </c>
      <c r="I61" s="86">
        <f t="shared" si="9"/>
        <v>58.97850854289041</v>
      </c>
      <c r="J61" s="2"/>
    </row>
    <row r="62" spans="1:15" x14ac:dyDescent="0.25">
      <c r="B62" s="294">
        <v>4.4000000000000004</v>
      </c>
      <c r="C62" s="87">
        <v>68287.202464353846</v>
      </c>
      <c r="D62" s="87">
        <v>4972.5621814245414</v>
      </c>
      <c r="E62" s="87">
        <v>11459.846415538157</v>
      </c>
      <c r="F62" s="87">
        <f t="shared" si="6"/>
        <v>80701.81587237338</v>
      </c>
      <c r="G62" s="87">
        <f t="shared" si="7"/>
        <v>85823.356057199911</v>
      </c>
      <c r="H62" s="86">
        <f t="shared" si="8"/>
        <v>46.994308973094896</v>
      </c>
      <c r="I62" s="86">
        <f t="shared" si="9"/>
        <v>59.567683333155415</v>
      </c>
      <c r="J62" s="2"/>
    </row>
    <row r="63" spans="1:15" x14ac:dyDescent="0.25">
      <c r="B63" s="294">
        <v>5.0999999999999996</v>
      </c>
      <c r="C63" s="87">
        <v>71722.721162700152</v>
      </c>
      <c r="D63" s="87">
        <v>5222.731023264143</v>
      </c>
      <c r="E63" s="87">
        <v>12036.38953372066</v>
      </c>
      <c r="F63" s="87">
        <f t="shared" si="6"/>
        <v>84761.911870079042</v>
      </c>
      <c r="G63" s="87">
        <f t="shared" si="7"/>
        <v>90141.115957281552</v>
      </c>
      <c r="H63" s="86">
        <f t="shared" si="8"/>
        <v>49.358585460731192</v>
      </c>
      <c r="I63" s="86">
        <f t="shared" si="9"/>
        <v>62.564524359335287</v>
      </c>
      <c r="J63" s="2"/>
    </row>
    <row r="64" spans="1:15" x14ac:dyDescent="0.25">
      <c r="B64" s="294">
        <v>5.2</v>
      </c>
      <c r="C64" s="87">
        <v>73891.037919573602</v>
      </c>
      <c r="D64" s="87">
        <v>5380.624296285634</v>
      </c>
      <c r="E64" s="87">
        <v>12400.272898645126</v>
      </c>
      <c r="F64" s="87">
        <f t="shared" si="6"/>
        <v>87324.42861335208</v>
      </c>
      <c r="G64" s="87">
        <f t="shared" si="7"/>
        <v>92866.256457320094</v>
      </c>
      <c r="H64" s="86">
        <f t="shared" si="8"/>
        <v>50.850791085602722</v>
      </c>
      <c r="I64" s="86">
        <f t="shared" si="9"/>
        <v>64.455971091346825</v>
      </c>
      <c r="J64" s="2"/>
    </row>
    <row r="65" spans="2:10" x14ac:dyDescent="0.25">
      <c r="B65" s="294">
        <v>5.3</v>
      </c>
      <c r="C65" s="87">
        <v>76061.025125793691</v>
      </c>
      <c r="D65" s="87">
        <v>5538.6392086911856</v>
      </c>
      <c r="E65" s="87">
        <v>12764.436595641584</v>
      </c>
      <c r="F65" s="87">
        <f t="shared" si="6"/>
        <v>89888.919493662979</v>
      </c>
      <c r="G65" s="87">
        <f t="shared" si="7"/>
        <v>95593.496378097509</v>
      </c>
      <c r="H65" s="86">
        <f t="shared" si="8"/>
        <v>52.344146290628174</v>
      </c>
      <c r="I65" s="86">
        <f t="shared" si="9"/>
        <v>66.348874974832043</v>
      </c>
      <c r="J65" s="2"/>
    </row>
    <row r="66" spans="2:10" x14ac:dyDescent="0.25">
      <c r="B66" s="294">
        <v>5.4</v>
      </c>
      <c r="C66" s="87">
        <v>76963.451364996537</v>
      </c>
      <c r="D66" s="87">
        <v>5604.3524086268208</v>
      </c>
      <c r="E66" s="87">
        <v>12915.880288301494</v>
      </c>
      <c r="F66" s="87">
        <f t="shared" si="6"/>
        <v>90955.406823152909</v>
      </c>
      <c r="G66" s="87">
        <f t="shared" si="7"/>
        <v>96727.665675527649</v>
      </c>
      <c r="H66" s="86">
        <f t="shared" si="8"/>
        <v>52.965183556471139</v>
      </c>
      <c r="I66" s="86">
        <f t="shared" si="9"/>
        <v>67.136071382188547</v>
      </c>
      <c r="J66" s="2"/>
    </row>
    <row r="67" spans="2:10" x14ac:dyDescent="0.25">
      <c r="B67" s="294">
        <v>6.1</v>
      </c>
      <c r="C67" s="87">
        <v>80395.084239705204</v>
      </c>
      <c r="D67" s="87">
        <v>5854.2382911568147</v>
      </c>
      <c r="E67" s="87">
        <v>13491.77129392881</v>
      </c>
      <c r="F67" s="87">
        <f t="shared" si="6"/>
        <v>95010.910554483606</v>
      </c>
      <c r="G67" s="87">
        <f t="shared" si="7"/>
        <v>101040.54187246149</v>
      </c>
      <c r="H67" s="86">
        <f t="shared" si="8"/>
        <v>55.326785873984001</v>
      </c>
      <c r="I67" s="86">
        <f t="shared" si="9"/>
        <v>70.129522761354295</v>
      </c>
      <c r="J67" s="2"/>
    </row>
    <row r="68" spans="2:10" x14ac:dyDescent="0.25">
      <c r="B68" s="294">
        <v>6.2</v>
      </c>
      <c r="C68" s="87">
        <v>82562.294007103832</v>
      </c>
      <c r="D68" s="87">
        <v>6012.0509550187699</v>
      </c>
      <c r="E68" s="87">
        <v>13855.468885693635</v>
      </c>
      <c r="F68" s="87">
        <f t="shared" si="6"/>
        <v>97572.119057595308</v>
      </c>
      <c r="G68" s="87">
        <f t="shared" si="7"/>
        <v>103764.29110812809</v>
      </c>
      <c r="H68" s="86">
        <f t="shared" si="8"/>
        <v>56.818229683998105</v>
      </c>
      <c r="I68" s="86">
        <f t="shared" si="9"/>
        <v>72.020003854181482</v>
      </c>
      <c r="J68" s="2"/>
    </row>
    <row r="69" spans="2:10" x14ac:dyDescent="0.25">
      <c r="B69" s="294">
        <v>6.3</v>
      </c>
      <c r="C69" s="87">
        <v>84730.966978426703</v>
      </c>
      <c r="D69" s="87">
        <v>6169.9701669927399</v>
      </c>
      <c r="E69" s="87">
        <v>14219.41202994328</v>
      </c>
      <c r="F69" s="87">
        <f>C69*1.1818</f>
        <v>100135.05677510468</v>
      </c>
      <c r="G69" s="87">
        <f>C69*1.2568</f>
        <v>106489.87929848667</v>
      </c>
      <c r="H69" s="86">
        <f t="shared" si="8"/>
        <v>58.310680450730665</v>
      </c>
      <c r="I69" s="86">
        <f t="shared" si="9"/>
        <v>73.911761316004117</v>
      </c>
      <c r="J69" s="2"/>
    </row>
    <row r="70" spans="2:10" x14ac:dyDescent="0.25">
      <c r="B70" s="294">
        <v>6.4</v>
      </c>
      <c r="C70" s="87">
        <v>85631.741942231311</v>
      </c>
      <c r="D70" s="87">
        <v>6235.5631237598154</v>
      </c>
      <c r="E70" s="87">
        <v>14370.57860827179</v>
      </c>
      <c r="F70" s="87">
        <f>C70*1.1818</f>
        <v>101199.59262732897</v>
      </c>
      <c r="G70" s="87">
        <f>C70*1.2568</f>
        <v>107621.9732729963</v>
      </c>
      <c r="H70" s="86">
        <f t="shared" si="8"/>
        <v>58.930581331665998</v>
      </c>
      <c r="I70" s="86">
        <f t="shared" si="9"/>
        <v>74.697517297534574</v>
      </c>
      <c r="J70" s="2"/>
    </row>
    <row r="71" spans="2:10" x14ac:dyDescent="0.25">
      <c r="B71" s="294">
        <v>7.1</v>
      </c>
      <c r="C71" s="87">
        <v>88843.092460959917</v>
      </c>
      <c r="D71" s="87">
        <v>6469.4084061033645</v>
      </c>
      <c r="E71" s="87">
        <v>14909.50218989456</v>
      </c>
      <c r="F71" s="87">
        <f t="shared" si="6"/>
        <v>104994.76667036243</v>
      </c>
      <c r="G71" s="87">
        <f t="shared" si="7"/>
        <v>111657.99860493442</v>
      </c>
      <c r="H71" s="86">
        <f t="shared" si="8"/>
        <v>61.140588376204377</v>
      </c>
      <c r="I71" s="86">
        <f t="shared" si="9"/>
        <v>77.498813936846247</v>
      </c>
      <c r="J71" s="2"/>
    </row>
    <row r="72" spans="2:10" x14ac:dyDescent="0.25">
      <c r="B72" s="294">
        <v>7.2</v>
      </c>
      <c r="C72" s="87">
        <v>91554.220461291843</v>
      </c>
      <c r="D72" s="87">
        <v>6666.8283043703786</v>
      </c>
      <c r="E72" s="87">
        <v>15364.479248193104</v>
      </c>
      <c r="F72" s="87">
        <f t="shared" si="6"/>
        <v>108198.7777411547</v>
      </c>
      <c r="G72" s="87">
        <f t="shared" si="7"/>
        <v>115065.34427575159</v>
      </c>
      <c r="H72" s="86">
        <f t="shared" si="8"/>
        <v>63.006349196904495</v>
      </c>
      <c r="I72" s="86">
        <f t="shared" si="9"/>
        <v>79.863760930885491</v>
      </c>
      <c r="J72" s="2"/>
    </row>
    <row r="73" spans="2:10" x14ac:dyDescent="0.25">
      <c r="B73" s="294">
        <v>7.3</v>
      </c>
      <c r="C73" s="87">
        <v>94257.070396604322</v>
      </c>
      <c r="D73" s="87">
        <v>6864.3547978055185</v>
      </c>
      <c r="E73" s="87">
        <v>15819.701967422736</v>
      </c>
      <c r="F73" s="87">
        <f t="shared" si="6"/>
        <v>111393.00579470699</v>
      </c>
      <c r="G73" s="87">
        <f t="shared" si="7"/>
        <v>118462.28607445231</v>
      </c>
      <c r="H73" s="86">
        <f t="shared" si="8"/>
        <v>64.866413167665158</v>
      </c>
      <c r="I73" s="86">
        <f t="shared" si="9"/>
        <v>82.221486877087145</v>
      </c>
      <c r="J73" s="2"/>
    </row>
    <row r="74" spans="2:10" x14ac:dyDescent="0.25">
      <c r="B74" s="294">
        <v>7.4</v>
      </c>
      <c r="C74" s="87">
        <v>95369.122267077939</v>
      </c>
      <c r="D74" s="87">
        <v>6946.3853040310041</v>
      </c>
      <c r="E74" s="87">
        <v>16008.750785403252</v>
      </c>
      <c r="F74" s="87">
        <f t="shared" si="6"/>
        <v>112707.2286952327</v>
      </c>
      <c r="G74" s="87">
        <f t="shared" si="7"/>
        <v>119859.91286526354</v>
      </c>
      <c r="H74" s="86">
        <f t="shared" si="8"/>
        <v>65.631711895818867</v>
      </c>
      <c r="I74" s="86">
        <f t="shared" si="9"/>
        <v>83.191542045257108</v>
      </c>
      <c r="J74" s="2"/>
    </row>
    <row r="75" spans="2:10" x14ac:dyDescent="0.25">
      <c r="B75" s="294">
        <v>8.1</v>
      </c>
      <c r="C75" s="87">
        <v>99918.479650430934</v>
      </c>
      <c r="D75" s="87">
        <v>7281.9686514140385</v>
      </c>
      <c r="E75" s="87">
        <v>16782.141540573262</v>
      </c>
      <c r="F75" s="87">
        <f t="shared" si="6"/>
        <v>118083.65925087927</v>
      </c>
      <c r="G75" s="87">
        <f t="shared" si="7"/>
        <v>125577.54522466159</v>
      </c>
      <c r="H75" s="86">
        <f t="shared" si="8"/>
        <v>68.762516772675895</v>
      </c>
      <c r="I75" s="86">
        <f t="shared" si="9"/>
        <v>87.15999689772211</v>
      </c>
      <c r="J75" s="2"/>
    </row>
    <row r="76" spans="2:10" x14ac:dyDescent="0.25">
      <c r="B76" s="294">
        <v>8.1999999999999993</v>
      </c>
      <c r="C76" s="87">
        <v>103129.95085063112</v>
      </c>
      <c r="D76" s="87">
        <v>7518.8628244968049</v>
      </c>
      <c r="E76" s="87">
        <v>17328.091644607295</v>
      </c>
      <c r="F76" s="87">
        <f t="shared" si="6"/>
        <v>121878.97591527586</v>
      </c>
      <c r="G76" s="87">
        <f t="shared" si="7"/>
        <v>129613.72222907319</v>
      </c>
      <c r="H76" s="86">
        <f t="shared" si="8"/>
        <v>70.972606868535138</v>
      </c>
      <c r="I76" s="86">
        <f t="shared" si="9"/>
        <v>89.961398808818586</v>
      </c>
      <c r="J76" s="2"/>
    </row>
    <row r="77" spans="2:10" x14ac:dyDescent="0.25">
      <c r="B77" s="294">
        <v>8.3000000000000007</v>
      </c>
      <c r="C77" s="87">
        <v>106341.88188662121</v>
      </c>
      <c r="D77" s="87">
        <v>7755.7909173666139</v>
      </c>
      <c r="E77" s="87">
        <v>17874.119920725607</v>
      </c>
      <c r="F77" s="87">
        <f t="shared" si="6"/>
        <v>125674.83601360895</v>
      </c>
      <c r="G77" s="87">
        <f t="shared" si="7"/>
        <v>133650.47715510553</v>
      </c>
      <c r="H77" s="86">
        <f t="shared" si="8"/>
        <v>73.183013417029841</v>
      </c>
      <c r="I77" s="86">
        <f t="shared" si="9"/>
        <v>92.763201839769593</v>
      </c>
      <c r="J77" s="2"/>
    </row>
    <row r="78" spans="2:10" x14ac:dyDescent="0.25">
      <c r="B78" s="294">
        <v>8.4</v>
      </c>
      <c r="C78" s="87">
        <v>109550.33366290932</v>
      </c>
      <c r="D78" s="87">
        <v>7992.4623626445073</v>
      </c>
      <c r="E78" s="87">
        <v>18419.556722694586</v>
      </c>
      <c r="F78" s="87">
        <f t="shared" si="6"/>
        <v>129466.58432282624</v>
      </c>
      <c r="G78" s="87">
        <f t="shared" si="7"/>
        <v>137682.85934754444</v>
      </c>
      <c r="H78" s="86">
        <f t="shared" si="8"/>
        <v>75.391025587082723</v>
      </c>
      <c r="I78" s="86">
        <f t="shared" si="9"/>
        <v>95.561969873932298</v>
      </c>
      <c r="J78" s="2"/>
    </row>
    <row r="79" spans="2:10" x14ac:dyDescent="0.25">
      <c r="B79" s="294">
        <v>8.5</v>
      </c>
      <c r="C79" s="87">
        <v>110882.4636330143</v>
      </c>
      <c r="D79" s="87">
        <v>8090.7269298892988</v>
      </c>
      <c r="E79" s="87">
        <v>18646.018817612432</v>
      </c>
      <c r="F79" s="87">
        <f t="shared" si="6"/>
        <v>131040.89552149629</v>
      </c>
      <c r="G79" s="87">
        <f t="shared" si="7"/>
        <v>139357.08029397237</v>
      </c>
      <c r="H79" s="86">
        <f t="shared" si="8"/>
        <v>76.307779021814667</v>
      </c>
      <c r="I79" s="86">
        <f t="shared" si="9"/>
        <v>96.724001606880208</v>
      </c>
      <c r="J79" s="2"/>
    </row>
    <row r="80" spans="2:10" x14ac:dyDescent="0.25">
      <c r="B80" s="294">
        <v>9.1</v>
      </c>
      <c r="C80" s="87">
        <v>115971.31878421876</v>
      </c>
      <c r="D80" s="87">
        <v>8466.1063301178965</v>
      </c>
      <c r="E80" s="87">
        <v>19511.124193317191</v>
      </c>
      <c r="F80" s="87">
        <f t="shared" si="6"/>
        <v>137054.90453918974</v>
      </c>
      <c r="G80" s="87">
        <f t="shared" si="7"/>
        <v>145752.75344800614</v>
      </c>
      <c r="H80" s="86">
        <f t="shared" si="8"/>
        <v>79.809858806381399</v>
      </c>
      <c r="I80" s="86">
        <f t="shared" si="9"/>
        <v>101.16306633988755</v>
      </c>
      <c r="J80" s="2"/>
    </row>
    <row r="81" spans="1:19" x14ac:dyDescent="0.25">
      <c r="B81" s="294">
        <v>9.1999999999999993</v>
      </c>
      <c r="C81" s="87">
        <v>119182.21200743003</v>
      </c>
      <c r="D81" s="87">
        <v>8702.9578687280773</v>
      </c>
      <c r="E81" s="87">
        <v>20056.976041263108</v>
      </c>
      <c r="F81" s="87">
        <f t="shared" si="6"/>
        <v>140849.5381503808</v>
      </c>
      <c r="G81" s="87">
        <f t="shared" si="7"/>
        <v>149788.20405093805</v>
      </c>
      <c r="H81" s="86">
        <f t="shared" si="8"/>
        <v>82.019551146464792</v>
      </c>
      <c r="I81" s="86">
        <f t="shared" si="9"/>
        <v>103.9639640752526</v>
      </c>
      <c r="J81" s="2"/>
    </row>
    <row r="82" spans="1:19" x14ac:dyDescent="0.25">
      <c r="B82" s="294">
        <v>9.3000000000000007</v>
      </c>
      <c r="C82" s="87">
        <v>120516.34405543459</v>
      </c>
      <c r="D82" s="87">
        <v>8801.3701192491335</v>
      </c>
      <c r="E82" s="87">
        <v>20283.778489423879</v>
      </c>
      <c r="F82" s="87">
        <f t="shared" si="6"/>
        <v>142426.2154047126</v>
      </c>
      <c r="G82" s="87">
        <f t="shared" si="7"/>
        <v>151464.94120887018</v>
      </c>
      <c r="H82" s="86">
        <f t="shared" si="8"/>
        <v>82.937682383537535</v>
      </c>
      <c r="I82" s="86">
        <f t="shared" si="9"/>
        <v>105.1277422429354</v>
      </c>
      <c r="J82" s="2"/>
    </row>
    <row r="83" spans="1:19" x14ac:dyDescent="0.25">
      <c r="B83" s="294">
        <v>10.1</v>
      </c>
      <c r="C83" s="87">
        <v>124231.83584507622</v>
      </c>
      <c r="D83" s="87">
        <v>9075.4433711120491</v>
      </c>
      <c r="E83" s="87">
        <v>20915.412093662959</v>
      </c>
      <c r="F83" s="87">
        <f t="shared" si="6"/>
        <v>146817.18360171106</v>
      </c>
      <c r="G83" s="87">
        <f t="shared" si="7"/>
        <v>156134.57129009179</v>
      </c>
      <c r="H83" s="86">
        <f t="shared" si="8"/>
        <v>85.494632483236842</v>
      </c>
      <c r="I83" s="86">
        <f t="shared" si="9"/>
        <v>108.36880689875935</v>
      </c>
      <c r="J83" s="2"/>
    </row>
    <row r="84" spans="1:19" x14ac:dyDescent="0.25">
      <c r="B84" s="294">
        <v>10.199999999999999</v>
      </c>
      <c r="C84" s="87">
        <v>127907.05233978039</v>
      </c>
      <c r="D84" s="87">
        <v>9346.5457158439003</v>
      </c>
      <c r="E84" s="87">
        <v>21540.198897762668</v>
      </c>
      <c r="F84" s="302">
        <f t="shared" si="6"/>
        <v>151160.55445515245</v>
      </c>
      <c r="G84" s="302">
        <f t="shared" si="7"/>
        <v>160753.58338063597</v>
      </c>
      <c r="H84" s="303">
        <f t="shared" si="8"/>
        <v>88.023865681584638</v>
      </c>
      <c r="I84" s="303">
        <f t="shared" si="9"/>
        <v>111.57473896855829</v>
      </c>
      <c r="J84" s="308"/>
    </row>
    <row r="85" spans="1:19" s="35" customFormat="1" ht="45" x14ac:dyDescent="0.25">
      <c r="B85" s="296">
        <v>10.3</v>
      </c>
      <c r="C85" s="87">
        <v>129452.98667480434</v>
      </c>
      <c r="D85" s="87">
        <v>9460.5815620669418</v>
      </c>
      <c r="E85" s="87">
        <v>21803.007734716739</v>
      </c>
      <c r="F85" s="302">
        <f t="shared" si="6"/>
        <v>152987.53965228377</v>
      </c>
      <c r="G85" s="302">
        <f t="shared" si="7"/>
        <v>162696.51365289409</v>
      </c>
      <c r="H85" s="303">
        <f t="shared" si="8"/>
        <v>89.087756325371899</v>
      </c>
      <c r="I85" s="303">
        <f t="shared" si="9"/>
        <v>112.92327461798149</v>
      </c>
      <c r="J85" s="308"/>
      <c r="K85" s="289"/>
      <c r="L85" s="259" t="s">
        <v>402</v>
      </c>
      <c r="M85" s="258" t="s">
        <v>403</v>
      </c>
      <c r="N85" s="258"/>
      <c r="O85" s="259" t="s">
        <v>404</v>
      </c>
      <c r="P85" s="260" t="s">
        <v>405</v>
      </c>
      <c r="Q85" s="261" t="s">
        <v>406</v>
      </c>
      <c r="R85" s="261" t="s">
        <v>407</v>
      </c>
      <c r="S85" s="261" t="s">
        <v>408</v>
      </c>
    </row>
    <row r="86" spans="1:19" s="35" customFormat="1" x14ac:dyDescent="0.25">
      <c r="B86" s="297" t="s">
        <v>415</v>
      </c>
      <c r="C86" s="306">
        <f>M86*(1+$M$2)*35*52.178571</f>
        <v>45180.898339430947</v>
      </c>
      <c r="D86" s="306">
        <f>(C86*(0.01+0.0545))</f>
        <v>2914.1679428932962</v>
      </c>
      <c r="E86" s="306">
        <f>C86*0.095</f>
        <v>4292.1853422459399</v>
      </c>
      <c r="F86" s="302">
        <f t="shared" si="6"/>
        <v>53394.785657539491</v>
      </c>
      <c r="G86" s="306">
        <f>F86</f>
        <v>53394.785657539491</v>
      </c>
      <c r="H86" s="303">
        <f>G86/52.178571/35</f>
        <v>29.237391428391714</v>
      </c>
      <c r="I86" s="303">
        <f>H86</f>
        <v>29.237391428391714</v>
      </c>
      <c r="J86" s="308"/>
      <c r="K86" s="289"/>
      <c r="L86" s="35">
        <v>1</v>
      </c>
      <c r="M86" s="86">
        <v>24.739711819590212</v>
      </c>
      <c r="O86" s="290">
        <f>M86*0.01</f>
        <v>0.24739711819590213</v>
      </c>
      <c r="P86" s="290">
        <f>M86*0.0545</f>
        <v>1.3483142941676665</v>
      </c>
      <c r="Q86" s="290">
        <f>M86*0.095</f>
        <v>2.3502726228610702</v>
      </c>
      <c r="R86" s="290">
        <f>Q86*0.0545</f>
        <v>0.12808985794592834</v>
      </c>
      <c r="S86" s="290">
        <f>SUM(M86:R86)</f>
        <v>28.813785712760779</v>
      </c>
    </row>
    <row r="87" spans="1:19" s="35" customFormat="1" x14ac:dyDescent="0.25">
      <c r="B87" s="297" t="s">
        <v>394</v>
      </c>
      <c r="C87" s="306">
        <f>M87*35*52.178571</f>
        <v>48175.913427412619</v>
      </c>
      <c r="D87" s="306">
        <f>(C87*(0.01+0.0545))</f>
        <v>3107.3464160681142</v>
      </c>
      <c r="E87" s="306">
        <f>C87*0.095</f>
        <v>4576.7117756041989</v>
      </c>
      <c r="F87" s="302">
        <f t="shared" si="6"/>
        <v>56934.294488516229</v>
      </c>
      <c r="G87" s="306">
        <f>F87</f>
        <v>56934.294488516229</v>
      </c>
      <c r="H87" s="303">
        <f t="shared" si="8"/>
        <v>31.175520852100778</v>
      </c>
      <c r="I87" s="303">
        <f t="shared" ref="I87:I110" si="10">H87</f>
        <v>31.175520852100778</v>
      </c>
      <c r="J87" s="308"/>
      <c r="K87" s="289"/>
      <c r="L87" s="35">
        <v>2</v>
      </c>
      <c r="M87" s="86">
        <v>26.379692716280911</v>
      </c>
      <c r="N87" s="290"/>
      <c r="O87" s="290">
        <f>M87*0.01</f>
        <v>0.26379692716280911</v>
      </c>
      <c r="P87" s="290">
        <f>M87*0.0545</f>
        <v>1.4376932530373097</v>
      </c>
      <c r="Q87" s="290">
        <f>M87*0.095</f>
        <v>2.5060708080466867</v>
      </c>
      <c r="R87" s="290">
        <f>Q87*0.0545</f>
        <v>0.13658085903854442</v>
      </c>
      <c r="S87" s="290">
        <f>SUM(M87:R87)</f>
        <v>30.72383456356626</v>
      </c>
    </row>
    <row r="88" spans="1:19" s="35" customFormat="1" x14ac:dyDescent="0.25">
      <c r="B88" s="297" t="s">
        <v>395</v>
      </c>
      <c r="C88" s="306">
        <f>M88*35*52.178571</f>
        <v>54202.468177619674</v>
      </c>
      <c r="D88" s="306">
        <f>(C88*(0.01+0.0545))</f>
        <v>3496.0591974564691</v>
      </c>
      <c r="E88" s="306">
        <f t="shared" ref="E88" si="11">C88*0.095</f>
        <v>5149.2344768738694</v>
      </c>
      <c r="F88" s="302">
        <f t="shared" si="6"/>
        <v>64056.47689231093</v>
      </c>
      <c r="G88" s="306">
        <f t="shared" ref="G88" si="12">F88</f>
        <v>64056.47689231093</v>
      </c>
      <c r="H88" s="303">
        <f t="shared" si="8"/>
        <v>35.075415424198312</v>
      </c>
      <c r="I88" s="303">
        <f t="shared" si="10"/>
        <v>35.075415424198312</v>
      </c>
      <c r="J88" s="308"/>
      <c r="K88" s="289"/>
      <c r="L88" s="35">
        <v>3</v>
      </c>
      <c r="M88" s="86">
        <v>29.679654276695132</v>
      </c>
      <c r="N88" s="290"/>
      <c r="O88" s="290">
        <f>M88*0.01</f>
        <v>0.29679654276695133</v>
      </c>
      <c r="P88" s="290">
        <f>M88*0.0545</f>
        <v>1.6175411580798846</v>
      </c>
      <c r="Q88" s="290">
        <f>M88*0.095</f>
        <v>2.8195671562860376</v>
      </c>
      <c r="R88" s="290">
        <f>Q88*0.0545</f>
        <v>0.15366641001758904</v>
      </c>
      <c r="S88" s="290">
        <f>SUM(M88:R88)</f>
        <v>34.567225543845588</v>
      </c>
    </row>
    <row r="89" spans="1:19" s="35" customFormat="1" x14ac:dyDescent="0.25">
      <c r="A89" s="291" t="s">
        <v>417</v>
      </c>
      <c r="B89" s="297" t="s">
        <v>416</v>
      </c>
      <c r="C89" s="302">
        <f>J89*37.5*52.178571*(1+$M$2)</f>
        <v>107393.29022602197</v>
      </c>
      <c r="D89" s="306">
        <f>(C89*(0.01+0.0545))</f>
        <v>6926.8672195784175</v>
      </c>
      <c r="E89" s="306">
        <f t="shared" ref="E89:E110" si="13">C89*0.095</f>
        <v>10202.362571472087</v>
      </c>
      <c r="F89" s="302">
        <f t="shared" si="6"/>
        <v>126917.39038911276</v>
      </c>
      <c r="G89" s="306">
        <f t="shared" ref="G89:G110" si="14">F89</f>
        <v>126917.39038911276</v>
      </c>
      <c r="H89" s="303">
        <f>G89/52.178571/37.55</f>
        <v>64.776728634393052</v>
      </c>
      <c r="I89" s="303">
        <f t="shared" si="10"/>
        <v>64.776728634393052</v>
      </c>
      <c r="J89" s="86">
        <v>54.885003897364669</v>
      </c>
      <c r="K89" s="289"/>
    </row>
    <row r="90" spans="1:19" s="35" customFormat="1" ht="30" x14ac:dyDescent="0.25">
      <c r="A90" s="291" t="s">
        <v>419</v>
      </c>
      <c r="B90" s="297" t="s">
        <v>418</v>
      </c>
      <c r="C90" s="302">
        <f t="shared" ref="C90:C110" si="15">J90*37.5*52.178571*(1+$M$2)</f>
        <v>125790.29795467819</v>
      </c>
      <c r="D90" s="306">
        <f t="shared" ref="D90:D110" si="16">(C90*(0.01+0.0545))</f>
        <v>8113.4742180767435</v>
      </c>
      <c r="E90" s="306">
        <f t="shared" si="13"/>
        <v>11950.078305694427</v>
      </c>
      <c r="F90" s="302">
        <f t="shared" si="6"/>
        <v>148658.97412283867</v>
      </c>
      <c r="G90" s="306">
        <f t="shared" si="14"/>
        <v>148658.97412283867</v>
      </c>
      <c r="H90" s="303">
        <f t="shared" ref="H90:H110" si="17">G90/52.178571/37.55</f>
        <v>75.873306221465057</v>
      </c>
      <c r="I90" s="303">
        <f t="shared" si="10"/>
        <v>75.873306221465057</v>
      </c>
      <c r="J90" s="86">
        <v>64.28707956486744</v>
      </c>
      <c r="K90" s="289"/>
      <c r="L90" s="288"/>
    </row>
    <row r="91" spans="1:19" s="35" customFormat="1" x14ac:dyDescent="0.25">
      <c r="A91" s="291" t="s">
        <v>421</v>
      </c>
      <c r="B91" s="297" t="s">
        <v>420</v>
      </c>
      <c r="C91" s="302">
        <f t="shared" si="15"/>
        <v>125790.29795467819</v>
      </c>
      <c r="D91" s="306">
        <f t="shared" si="16"/>
        <v>8113.4742180767435</v>
      </c>
      <c r="E91" s="306">
        <f t="shared" si="13"/>
        <v>11950.078305694427</v>
      </c>
      <c r="F91" s="302">
        <f t="shared" si="6"/>
        <v>148658.97412283867</v>
      </c>
      <c r="G91" s="306">
        <f t="shared" si="14"/>
        <v>148658.97412283867</v>
      </c>
      <c r="H91" s="303">
        <f t="shared" si="17"/>
        <v>75.873306221465057</v>
      </c>
      <c r="I91" s="303">
        <f t="shared" si="10"/>
        <v>75.873306221465057</v>
      </c>
      <c r="J91" s="86">
        <v>64.28707956486744</v>
      </c>
      <c r="K91" s="289"/>
      <c r="L91" s="288"/>
    </row>
    <row r="92" spans="1:19" s="35" customFormat="1" ht="30" x14ac:dyDescent="0.25">
      <c r="A92" s="291" t="s">
        <v>423</v>
      </c>
      <c r="B92" s="297" t="s">
        <v>422</v>
      </c>
      <c r="C92" s="302">
        <f t="shared" si="15"/>
        <v>89905.339066644767</v>
      </c>
      <c r="D92" s="306">
        <f t="shared" si="16"/>
        <v>5798.8943697985878</v>
      </c>
      <c r="E92" s="306">
        <f t="shared" si="13"/>
        <v>8541.0072113312526</v>
      </c>
      <c r="F92" s="302">
        <f t="shared" si="6"/>
        <v>106250.12970896078</v>
      </c>
      <c r="G92" s="306">
        <f t="shared" si="14"/>
        <v>106250.12970896078</v>
      </c>
      <c r="H92" s="303">
        <f t="shared" si="17"/>
        <v>54.228469388043877</v>
      </c>
      <c r="I92" s="303">
        <f t="shared" si="10"/>
        <v>54.228469388043877</v>
      </c>
      <c r="J92" s="86">
        <v>45.947515665844136</v>
      </c>
      <c r="K92" s="289"/>
      <c r="L92" s="288"/>
    </row>
    <row r="93" spans="1:19" s="35" customFormat="1" ht="30" x14ac:dyDescent="0.25">
      <c r="A93" s="291" t="s">
        <v>425</v>
      </c>
      <c r="B93" s="297" t="s">
        <v>424</v>
      </c>
      <c r="C93" s="302">
        <f t="shared" si="15"/>
        <v>107393.29022602197</v>
      </c>
      <c r="D93" s="306">
        <f t="shared" si="16"/>
        <v>6926.8672195784175</v>
      </c>
      <c r="E93" s="306">
        <f t="shared" si="13"/>
        <v>10202.362571472087</v>
      </c>
      <c r="F93" s="302">
        <f t="shared" si="6"/>
        <v>126917.39038911276</v>
      </c>
      <c r="G93" s="306">
        <f t="shared" si="14"/>
        <v>126917.39038911276</v>
      </c>
      <c r="H93" s="303">
        <f t="shared" si="17"/>
        <v>64.776728634393052</v>
      </c>
      <c r="I93" s="303">
        <f t="shared" si="10"/>
        <v>64.776728634393052</v>
      </c>
      <c r="J93" s="86">
        <v>54.885003897364669</v>
      </c>
      <c r="K93" s="289"/>
      <c r="L93" s="288"/>
    </row>
    <row r="94" spans="1:19" s="35" customFormat="1" ht="30" x14ac:dyDescent="0.25">
      <c r="A94" s="291" t="s">
        <v>427</v>
      </c>
      <c r="B94" s="297" t="s">
        <v>426</v>
      </c>
      <c r="C94" s="302">
        <f t="shared" si="15"/>
        <v>134867.81875347017</v>
      </c>
      <c r="D94" s="306">
        <f t="shared" si="16"/>
        <v>8698.9743095988269</v>
      </c>
      <c r="E94" s="306">
        <f t="shared" si="13"/>
        <v>12812.442781579666</v>
      </c>
      <c r="F94" s="302">
        <f t="shared" si="6"/>
        <v>159386.78820285105</v>
      </c>
      <c r="G94" s="306">
        <f t="shared" si="14"/>
        <v>159386.78820285105</v>
      </c>
      <c r="H94" s="303">
        <f t="shared" si="17"/>
        <v>81.348621301381755</v>
      </c>
      <c r="I94" s="303">
        <f t="shared" si="10"/>
        <v>81.348621301381755</v>
      </c>
      <c r="J94" s="86">
        <v>68.926287129618885</v>
      </c>
      <c r="K94" s="289"/>
      <c r="L94" s="288"/>
    </row>
    <row r="95" spans="1:19" s="35" customFormat="1" ht="30" x14ac:dyDescent="0.25">
      <c r="A95" s="291" t="s">
        <v>429</v>
      </c>
      <c r="B95" s="297" t="s">
        <v>428</v>
      </c>
      <c r="C95" s="302">
        <f t="shared" si="15"/>
        <v>161099.74549253599</v>
      </c>
      <c r="D95" s="306">
        <f t="shared" si="16"/>
        <v>10390.933584268572</v>
      </c>
      <c r="E95" s="306">
        <f t="shared" si="13"/>
        <v>15304.47582179092</v>
      </c>
      <c r="F95" s="302">
        <f t="shared" si="6"/>
        <v>190387.67922307903</v>
      </c>
      <c r="G95" s="306">
        <f t="shared" si="14"/>
        <v>190387.67922307903</v>
      </c>
      <c r="H95" s="303">
        <f t="shared" si="17"/>
        <v>97.171010170905518</v>
      </c>
      <c r="I95" s="303">
        <f t="shared" si="10"/>
        <v>97.171010170905518</v>
      </c>
      <c r="J95" s="86">
        <v>82.332519476899691</v>
      </c>
      <c r="K95" s="289"/>
      <c r="L95" s="288"/>
    </row>
    <row r="96" spans="1:19" s="35" customFormat="1" ht="45" x14ac:dyDescent="0.25">
      <c r="A96" s="291" t="s">
        <v>431</v>
      </c>
      <c r="B96" s="297" t="s">
        <v>430</v>
      </c>
      <c r="C96" s="302">
        <f t="shared" si="15"/>
        <v>179810.67813328953</v>
      </c>
      <c r="D96" s="306">
        <f t="shared" si="16"/>
        <v>11597.788739597176</v>
      </c>
      <c r="E96" s="306">
        <f t="shared" si="13"/>
        <v>17082.014422662505</v>
      </c>
      <c r="F96" s="302">
        <f t="shared" si="6"/>
        <v>212500.25941792157</v>
      </c>
      <c r="G96" s="306">
        <f t="shared" si="14"/>
        <v>212500.25941792157</v>
      </c>
      <c r="H96" s="303">
        <f t="shared" si="17"/>
        <v>108.45693877608775</v>
      </c>
      <c r="I96" s="303">
        <f t="shared" si="10"/>
        <v>108.45693877608775</v>
      </c>
      <c r="J96" s="86">
        <v>91.895031331688273</v>
      </c>
      <c r="K96" s="289"/>
      <c r="L96" s="288"/>
    </row>
    <row r="97" spans="1:12" s="35" customFormat="1" x14ac:dyDescent="0.25">
      <c r="A97" s="291" t="s">
        <v>433</v>
      </c>
      <c r="B97" s="297" t="s">
        <v>432</v>
      </c>
      <c r="C97" s="302">
        <f t="shared" si="15"/>
        <v>214806.20075905</v>
      </c>
      <c r="D97" s="306">
        <f t="shared" si="16"/>
        <v>13854.999948958726</v>
      </c>
      <c r="E97" s="306">
        <f t="shared" si="13"/>
        <v>20406.589072109749</v>
      </c>
      <c r="F97" s="302">
        <f t="shared" si="6"/>
        <v>253857.96805704528</v>
      </c>
      <c r="G97" s="306">
        <f t="shared" si="14"/>
        <v>253857.96805704528</v>
      </c>
      <c r="H97" s="303">
        <f t="shared" si="17"/>
        <v>129.56529170741797</v>
      </c>
      <c r="I97" s="303">
        <f t="shared" si="10"/>
        <v>129.56529170741797</v>
      </c>
      <c r="J97" s="86">
        <v>109.7800350564347</v>
      </c>
      <c r="K97" s="289"/>
      <c r="L97" s="288"/>
    </row>
    <row r="98" spans="1:12" s="35" customFormat="1" x14ac:dyDescent="0.25">
      <c r="A98" s="291" t="s">
        <v>435</v>
      </c>
      <c r="B98" s="297" t="s">
        <v>434</v>
      </c>
      <c r="C98" s="302">
        <f t="shared" si="15"/>
        <v>269735.63750694034</v>
      </c>
      <c r="D98" s="306">
        <f t="shared" si="16"/>
        <v>17397.948619197654</v>
      </c>
      <c r="E98" s="306">
        <f t="shared" si="13"/>
        <v>25624.885563159332</v>
      </c>
      <c r="F98" s="302">
        <f t="shared" si="6"/>
        <v>318773.5764057021</v>
      </c>
      <c r="G98" s="306">
        <f t="shared" si="14"/>
        <v>318773.5764057021</v>
      </c>
      <c r="H98" s="303">
        <f t="shared" si="17"/>
        <v>162.69724260276351</v>
      </c>
      <c r="I98" s="303">
        <f t="shared" si="10"/>
        <v>162.69724260276351</v>
      </c>
      <c r="J98" s="86">
        <v>137.85257425923777</v>
      </c>
      <c r="K98" s="289"/>
      <c r="L98" s="288"/>
    </row>
    <row r="99" spans="1:12" s="35" customFormat="1" x14ac:dyDescent="0.25">
      <c r="A99" s="291" t="s">
        <v>437</v>
      </c>
      <c r="B99" s="297" t="s">
        <v>436</v>
      </c>
      <c r="C99" s="302">
        <f t="shared" si="15"/>
        <v>322199.49098507199</v>
      </c>
      <c r="D99" s="306">
        <f t="shared" si="16"/>
        <v>20781.867168537145</v>
      </c>
      <c r="E99" s="306">
        <f t="shared" si="13"/>
        <v>30608.95164358184</v>
      </c>
      <c r="F99" s="302">
        <f t="shared" si="6"/>
        <v>380775.35844615806</v>
      </c>
      <c r="G99" s="306">
        <f t="shared" si="14"/>
        <v>380775.35844615806</v>
      </c>
      <c r="H99" s="303">
        <f t="shared" si="17"/>
        <v>194.34202034181104</v>
      </c>
      <c r="I99" s="303">
        <f t="shared" si="10"/>
        <v>194.34202034181104</v>
      </c>
      <c r="J99" s="86">
        <v>164.66503895379938</v>
      </c>
      <c r="K99" s="289"/>
      <c r="L99" s="288"/>
    </row>
    <row r="100" spans="1:12" s="35" customFormat="1" x14ac:dyDescent="0.25">
      <c r="A100" s="291" t="s">
        <v>439</v>
      </c>
      <c r="B100" s="297" t="s">
        <v>438</v>
      </c>
      <c r="C100" s="302">
        <f t="shared" si="15"/>
        <v>251593.69376936319</v>
      </c>
      <c r="D100" s="306">
        <f t="shared" si="16"/>
        <v>16227.793248123926</v>
      </c>
      <c r="E100" s="306">
        <f t="shared" si="13"/>
        <v>23901.400908089505</v>
      </c>
      <c r="F100" s="302">
        <f t="shared" si="6"/>
        <v>297333.42729663342</v>
      </c>
      <c r="G100" s="306">
        <f t="shared" si="14"/>
        <v>297333.42729663342</v>
      </c>
      <c r="H100" s="303">
        <f t="shared" si="17"/>
        <v>151.75451271790604</v>
      </c>
      <c r="I100" s="303">
        <f t="shared" si="10"/>
        <v>151.75451271790604</v>
      </c>
      <c r="J100" s="86">
        <v>128.5808529939047</v>
      </c>
      <c r="K100" s="289"/>
      <c r="L100" s="288"/>
    </row>
    <row r="101" spans="1:12" s="35" customFormat="1" x14ac:dyDescent="0.25">
      <c r="A101" s="291" t="s">
        <v>441</v>
      </c>
      <c r="B101" s="297" t="s">
        <v>440</v>
      </c>
      <c r="C101" s="302">
        <f t="shared" si="15"/>
        <v>377383.99172404135</v>
      </c>
      <c r="D101" s="306">
        <f t="shared" si="16"/>
        <v>24341.267466200668</v>
      </c>
      <c r="E101" s="306">
        <f t="shared" si="13"/>
        <v>35851.479213783925</v>
      </c>
      <c r="F101" s="302">
        <f t="shared" si="6"/>
        <v>445992.40141947207</v>
      </c>
      <c r="G101" s="306">
        <f t="shared" si="14"/>
        <v>445992.40141947207</v>
      </c>
      <c r="H101" s="303">
        <f t="shared" si="17"/>
        <v>227.62781893937108</v>
      </c>
      <c r="I101" s="303">
        <f t="shared" si="10"/>
        <v>227.62781893937108</v>
      </c>
      <c r="J101" s="86">
        <v>192.86793255877214</v>
      </c>
      <c r="K101" s="289"/>
      <c r="L101" s="288"/>
    </row>
    <row r="102" spans="1:12" s="35" customFormat="1" x14ac:dyDescent="0.25">
      <c r="A102" s="291" t="s">
        <v>443</v>
      </c>
      <c r="B102" s="297" t="s">
        <v>442</v>
      </c>
      <c r="C102" s="302">
        <f t="shared" si="15"/>
        <v>503174.28967871959</v>
      </c>
      <c r="D102" s="306">
        <f t="shared" si="16"/>
        <v>32454.741684277415</v>
      </c>
      <c r="E102" s="306">
        <f t="shared" si="13"/>
        <v>47801.55751947836</v>
      </c>
      <c r="F102" s="302">
        <f t="shared" si="6"/>
        <v>594651.37554231077</v>
      </c>
      <c r="G102" s="306">
        <f t="shared" si="14"/>
        <v>594651.37554231077</v>
      </c>
      <c r="H102" s="303">
        <f t="shared" si="17"/>
        <v>303.50112516083618</v>
      </c>
      <c r="I102" s="303">
        <f t="shared" si="10"/>
        <v>303.50112516083618</v>
      </c>
      <c r="J102" s="86">
        <v>257.15501212363961</v>
      </c>
      <c r="K102" s="289"/>
      <c r="L102" s="288"/>
    </row>
    <row r="103" spans="1:12" s="35" customFormat="1" x14ac:dyDescent="0.25">
      <c r="A103" s="291" t="s">
        <v>445</v>
      </c>
      <c r="B103" s="297" t="s">
        <v>444</v>
      </c>
      <c r="C103" s="302">
        <f t="shared" si="15"/>
        <v>628977.68549340474</v>
      </c>
      <c r="D103" s="306">
        <f t="shared" si="16"/>
        <v>40569.060714324609</v>
      </c>
      <c r="E103" s="306">
        <f t="shared" si="13"/>
        <v>59752.880121873452</v>
      </c>
      <c r="F103" s="302">
        <f t="shared" si="6"/>
        <v>743325.82871610567</v>
      </c>
      <c r="G103" s="306">
        <f t="shared" si="14"/>
        <v>743325.82871610567</v>
      </c>
      <c r="H103" s="303">
        <f t="shared" si="17"/>
        <v>379.38233165727718</v>
      </c>
      <c r="I103" s="303">
        <f t="shared" si="10"/>
        <v>379.38233165727718</v>
      </c>
      <c r="J103" s="86">
        <v>321.4487855526769</v>
      </c>
      <c r="K103" s="289"/>
      <c r="L103" s="288"/>
    </row>
    <row r="104" spans="1:12" s="35" customFormat="1" x14ac:dyDescent="0.25">
      <c r="A104" s="291" t="s">
        <v>447</v>
      </c>
      <c r="B104" s="297" t="s">
        <v>446</v>
      </c>
      <c r="C104" s="302">
        <f t="shared" si="15"/>
        <v>134867.81875347017</v>
      </c>
      <c r="D104" s="306">
        <f t="shared" si="16"/>
        <v>8698.9743095988269</v>
      </c>
      <c r="E104" s="306">
        <f t="shared" si="13"/>
        <v>12812.442781579666</v>
      </c>
      <c r="F104" s="302">
        <f t="shared" si="6"/>
        <v>159386.78820285105</v>
      </c>
      <c r="G104" s="306">
        <f t="shared" si="14"/>
        <v>159386.78820285105</v>
      </c>
      <c r="H104" s="303">
        <f t="shared" si="17"/>
        <v>81.348621301381755</v>
      </c>
      <c r="I104" s="303">
        <f t="shared" si="10"/>
        <v>81.348621301381755</v>
      </c>
      <c r="J104" s="86">
        <v>68.926287129618885</v>
      </c>
      <c r="K104" s="289"/>
      <c r="L104" s="288"/>
    </row>
    <row r="105" spans="1:12" s="35" customFormat="1" ht="30" x14ac:dyDescent="0.25">
      <c r="A105" s="291" t="s">
        <v>449</v>
      </c>
      <c r="B105" s="297" t="s">
        <v>448</v>
      </c>
      <c r="C105" s="302">
        <f t="shared" si="15"/>
        <v>134867.81875347017</v>
      </c>
      <c r="D105" s="306">
        <f t="shared" si="16"/>
        <v>8698.9743095988269</v>
      </c>
      <c r="E105" s="306">
        <f t="shared" si="13"/>
        <v>12812.442781579666</v>
      </c>
      <c r="F105" s="302">
        <f t="shared" si="6"/>
        <v>159386.78820285105</v>
      </c>
      <c r="G105" s="306">
        <f t="shared" si="14"/>
        <v>159386.78820285105</v>
      </c>
      <c r="H105" s="303">
        <f t="shared" si="17"/>
        <v>81.348621301381755</v>
      </c>
      <c r="I105" s="303">
        <f t="shared" si="10"/>
        <v>81.348621301381755</v>
      </c>
      <c r="J105" s="86">
        <v>68.926287129618885</v>
      </c>
      <c r="K105" s="289"/>
      <c r="L105" s="288"/>
    </row>
    <row r="106" spans="1:12" s="35" customFormat="1" ht="30" x14ac:dyDescent="0.25">
      <c r="A106" s="291" t="s">
        <v>451</v>
      </c>
      <c r="B106" s="297" t="s">
        <v>450</v>
      </c>
      <c r="C106" s="302">
        <f t="shared" si="15"/>
        <v>179810.67813328953</v>
      </c>
      <c r="D106" s="306">
        <f t="shared" si="16"/>
        <v>11597.788739597176</v>
      </c>
      <c r="E106" s="306">
        <f t="shared" si="13"/>
        <v>17082.014422662505</v>
      </c>
      <c r="F106" s="302">
        <f t="shared" si="6"/>
        <v>212500.25941792157</v>
      </c>
      <c r="G106" s="306">
        <f t="shared" si="14"/>
        <v>212500.25941792157</v>
      </c>
      <c r="H106" s="303">
        <f t="shared" si="17"/>
        <v>108.45693877608775</v>
      </c>
      <c r="I106" s="303">
        <f t="shared" si="10"/>
        <v>108.45693877608775</v>
      </c>
      <c r="J106" s="86">
        <v>91.895031331688273</v>
      </c>
      <c r="K106" s="289"/>
      <c r="L106" s="288"/>
    </row>
    <row r="107" spans="1:12" s="35" customFormat="1" ht="30" x14ac:dyDescent="0.25">
      <c r="A107" s="291" t="s">
        <v>453</v>
      </c>
      <c r="B107" s="297" t="s">
        <v>452</v>
      </c>
      <c r="C107" s="302">
        <f t="shared" si="15"/>
        <v>161099.74549253599</v>
      </c>
      <c r="D107" s="306">
        <f t="shared" si="16"/>
        <v>10390.933584268572</v>
      </c>
      <c r="E107" s="306">
        <f t="shared" si="13"/>
        <v>15304.47582179092</v>
      </c>
      <c r="F107" s="302">
        <f t="shared" si="6"/>
        <v>190387.67922307903</v>
      </c>
      <c r="G107" s="306">
        <f t="shared" si="14"/>
        <v>190387.67922307903</v>
      </c>
      <c r="H107" s="303">
        <f t="shared" si="17"/>
        <v>97.171010170905518</v>
      </c>
      <c r="I107" s="303">
        <f t="shared" si="10"/>
        <v>97.171010170905518</v>
      </c>
      <c r="J107" s="86">
        <v>82.332519476899691</v>
      </c>
      <c r="K107" s="289"/>
      <c r="L107" s="288"/>
    </row>
    <row r="108" spans="1:12" s="35" customFormat="1" ht="30" x14ac:dyDescent="0.25">
      <c r="A108" s="291" t="s">
        <v>455</v>
      </c>
      <c r="B108" s="297" t="s">
        <v>454</v>
      </c>
      <c r="C108" s="302">
        <f t="shared" si="15"/>
        <v>214806.20075905</v>
      </c>
      <c r="D108" s="306">
        <f t="shared" si="16"/>
        <v>13854.999948958726</v>
      </c>
      <c r="E108" s="306">
        <f t="shared" si="13"/>
        <v>20406.589072109749</v>
      </c>
      <c r="F108" s="302">
        <f t="shared" si="6"/>
        <v>253857.96805704528</v>
      </c>
      <c r="G108" s="306">
        <f t="shared" si="14"/>
        <v>253857.96805704528</v>
      </c>
      <c r="H108" s="303">
        <f t="shared" si="17"/>
        <v>129.56529170741797</v>
      </c>
      <c r="I108" s="303">
        <f t="shared" si="10"/>
        <v>129.56529170741797</v>
      </c>
      <c r="J108" s="86">
        <v>109.7800350564347</v>
      </c>
      <c r="K108" s="289"/>
      <c r="L108" s="288"/>
    </row>
    <row r="109" spans="1:12" s="35" customFormat="1" x14ac:dyDescent="0.25">
      <c r="A109" s="291" t="s">
        <v>457</v>
      </c>
      <c r="B109" s="297" t="s">
        <v>456</v>
      </c>
      <c r="C109" s="302">
        <f t="shared" si="15"/>
        <v>179810.67813328953</v>
      </c>
      <c r="D109" s="306">
        <f t="shared" si="16"/>
        <v>11597.788739597176</v>
      </c>
      <c r="E109" s="306">
        <f t="shared" si="13"/>
        <v>17082.014422662505</v>
      </c>
      <c r="F109" s="302">
        <f t="shared" si="6"/>
        <v>212500.25941792157</v>
      </c>
      <c r="G109" s="306">
        <f t="shared" si="14"/>
        <v>212500.25941792157</v>
      </c>
      <c r="H109" s="303">
        <f t="shared" si="17"/>
        <v>108.45693877608775</v>
      </c>
      <c r="I109" s="303">
        <f t="shared" si="10"/>
        <v>108.45693877608775</v>
      </c>
      <c r="J109" s="86">
        <v>91.895031331688273</v>
      </c>
      <c r="K109" s="289"/>
      <c r="L109" s="288"/>
    </row>
    <row r="110" spans="1:12" s="35" customFormat="1" x14ac:dyDescent="0.25">
      <c r="A110" s="291" t="s">
        <v>459</v>
      </c>
      <c r="B110" s="297" t="s">
        <v>458</v>
      </c>
      <c r="C110" s="302">
        <f t="shared" si="15"/>
        <v>214806.20075905</v>
      </c>
      <c r="D110" s="306">
        <f t="shared" si="16"/>
        <v>13854.999948958726</v>
      </c>
      <c r="E110" s="306">
        <f t="shared" si="13"/>
        <v>20406.589072109749</v>
      </c>
      <c r="F110" s="302">
        <f t="shared" si="6"/>
        <v>253857.96805704528</v>
      </c>
      <c r="G110" s="306">
        <f t="shared" si="14"/>
        <v>253857.96805704528</v>
      </c>
      <c r="H110" s="303">
        <f t="shared" si="17"/>
        <v>129.56529170741797</v>
      </c>
      <c r="I110" s="303">
        <f t="shared" si="10"/>
        <v>129.56529170741797</v>
      </c>
      <c r="J110" s="86">
        <v>109.7800350564347</v>
      </c>
      <c r="K110" s="289"/>
      <c r="L110" s="288"/>
    </row>
    <row r="111" spans="1:12" x14ac:dyDescent="0.25">
      <c r="C111" s="84"/>
      <c r="D111" s="84"/>
      <c r="E111" s="84"/>
      <c r="F111" s="222"/>
      <c r="G111" s="84"/>
      <c r="H111" s="84"/>
      <c r="I111" s="84"/>
      <c r="J111" s="222"/>
      <c r="K111" s="222"/>
    </row>
    <row r="112" spans="1:12" x14ac:dyDescent="0.25">
      <c r="C112" s="84"/>
      <c r="D112" s="84"/>
      <c r="E112" s="84"/>
      <c r="F112" s="84"/>
      <c r="G112" s="84"/>
      <c r="H112" s="84"/>
      <c r="I112" s="84"/>
    </row>
    <row r="113" spans="3:9" x14ac:dyDescent="0.25">
      <c r="C113" s="84"/>
      <c r="D113" s="84"/>
      <c r="E113" s="84"/>
      <c r="F113" s="222"/>
      <c r="G113" s="84"/>
      <c r="H113" s="84"/>
      <c r="I113" s="84"/>
    </row>
    <row r="117" spans="3:9" x14ac:dyDescent="0.25">
      <c r="C117" s="84"/>
      <c r="D117" s="84"/>
      <c r="E117" s="84"/>
      <c r="F117" s="84"/>
      <c r="G117" s="84"/>
      <c r="H117" s="84"/>
      <c r="I117" s="84"/>
    </row>
    <row r="118" spans="3:9" x14ac:dyDescent="0.25">
      <c r="C118" s="84"/>
      <c r="D118" s="84"/>
      <c r="E118" s="84"/>
      <c r="F118" s="84"/>
      <c r="G118" s="84"/>
      <c r="H118" s="84"/>
      <c r="I118" s="84"/>
    </row>
    <row r="119" spans="3:9" x14ac:dyDescent="0.25">
      <c r="C119" s="84"/>
      <c r="D119" s="84"/>
      <c r="E119" s="84"/>
      <c r="F119" s="84"/>
      <c r="G119" s="84"/>
      <c r="H119" s="84"/>
      <c r="I119" s="84"/>
    </row>
    <row r="120" spans="3:9" x14ac:dyDescent="0.25">
      <c r="E120" s="84"/>
      <c r="F120" s="84"/>
      <c r="G120" s="84"/>
      <c r="H120" s="84"/>
      <c r="I120" s="84"/>
    </row>
    <row r="121" spans="3:9" x14ac:dyDescent="0.25">
      <c r="E121" s="84"/>
      <c r="F121" s="84"/>
      <c r="G121" s="84"/>
      <c r="H121" s="84"/>
      <c r="I121" s="84"/>
    </row>
    <row r="122" spans="3:9" x14ac:dyDescent="0.25">
      <c r="E122" s="84"/>
      <c r="F122" s="84"/>
      <c r="G122" s="84"/>
      <c r="H122" s="84"/>
      <c r="I122" s="84"/>
    </row>
    <row r="123" spans="3:9" x14ac:dyDescent="0.25">
      <c r="E123" s="84"/>
      <c r="F123" s="84"/>
      <c r="G123" s="84"/>
      <c r="H123" s="84"/>
      <c r="I123" s="84"/>
    </row>
    <row r="124" spans="3:9" x14ac:dyDescent="0.25">
      <c r="E124" s="84"/>
      <c r="F124" s="84"/>
      <c r="G124" s="84"/>
      <c r="H124" s="84"/>
      <c r="I124" s="84"/>
    </row>
    <row r="125" spans="3:9" x14ac:dyDescent="0.25">
      <c r="E125" s="84"/>
      <c r="F125" s="84"/>
      <c r="G125" s="84"/>
      <c r="H125" s="84"/>
      <c r="I125" s="84"/>
    </row>
    <row r="126" spans="3:9" x14ac:dyDescent="0.25">
      <c r="E126" s="84"/>
      <c r="F126" s="84"/>
      <c r="G126" s="84"/>
      <c r="H126" s="84"/>
      <c r="I126" s="84"/>
    </row>
    <row r="127" spans="3:9" x14ac:dyDescent="0.25">
      <c r="E127" s="84"/>
      <c r="F127" s="84"/>
      <c r="G127" s="84"/>
      <c r="H127" s="84"/>
      <c r="I127" s="84"/>
    </row>
    <row r="128" spans="3:9" x14ac:dyDescent="0.25">
      <c r="E128" s="84"/>
      <c r="F128" s="84"/>
      <c r="G128" s="84"/>
      <c r="H128" s="84"/>
      <c r="I128" s="84"/>
    </row>
    <row r="129" spans="3:9" x14ac:dyDescent="0.25">
      <c r="E129" s="84"/>
      <c r="F129" s="84"/>
      <c r="G129" s="84"/>
      <c r="H129" s="84"/>
      <c r="I129" s="84"/>
    </row>
    <row r="130" spans="3:9" x14ac:dyDescent="0.25">
      <c r="E130" s="84"/>
      <c r="F130" s="84"/>
      <c r="G130" s="84"/>
      <c r="H130" s="84"/>
      <c r="I130" s="84"/>
    </row>
    <row r="131" spans="3:9" x14ac:dyDescent="0.25">
      <c r="C131" s="80"/>
      <c r="D131" s="80"/>
      <c r="E131" s="80"/>
      <c r="F131" s="79"/>
      <c r="G131" s="79"/>
      <c r="H131" s="79"/>
      <c r="I131" s="79"/>
    </row>
    <row r="132" spans="3:9" x14ac:dyDescent="0.25">
      <c r="C132" s="80"/>
      <c r="D132" s="80"/>
      <c r="E132" s="80"/>
      <c r="F132" s="79"/>
      <c r="G132" s="79"/>
      <c r="H132" s="79"/>
      <c r="I132" s="79"/>
    </row>
    <row r="133" spans="3:9" x14ac:dyDescent="0.25">
      <c r="C133" s="80"/>
      <c r="D133" s="80"/>
      <c r="E133" s="80"/>
      <c r="F133" s="79"/>
      <c r="G133" s="79"/>
      <c r="H133" s="79"/>
      <c r="I133" s="79"/>
    </row>
    <row r="134" spans="3:9" x14ac:dyDescent="0.25">
      <c r="C134" s="80"/>
      <c r="D134" s="80"/>
      <c r="E134" s="80"/>
      <c r="F134" s="79"/>
      <c r="G134" s="79"/>
      <c r="H134" s="79"/>
      <c r="I134" s="79"/>
    </row>
    <row r="135" spans="3:9" x14ac:dyDescent="0.25">
      <c r="C135" s="80"/>
      <c r="D135" s="80"/>
      <c r="E135" s="80"/>
      <c r="F135" s="79"/>
      <c r="G135" s="79"/>
      <c r="H135" s="79"/>
      <c r="I135" s="79"/>
    </row>
    <row r="136" spans="3:9" x14ac:dyDescent="0.25">
      <c r="C136" s="80"/>
      <c r="D136" s="80"/>
      <c r="E136" s="80"/>
      <c r="F136" s="79"/>
      <c r="G136" s="79"/>
      <c r="H136" s="79"/>
      <c r="I136" s="79"/>
    </row>
    <row r="137" spans="3:9" x14ac:dyDescent="0.25">
      <c r="C137" s="80"/>
      <c r="D137" s="80"/>
      <c r="E137" s="80"/>
      <c r="F137" s="79"/>
      <c r="G137" s="79"/>
      <c r="H137" s="79"/>
      <c r="I137" s="79"/>
    </row>
    <row r="138" spans="3:9" x14ac:dyDescent="0.25">
      <c r="C138" s="80"/>
      <c r="D138" s="80"/>
      <c r="E138" s="80"/>
      <c r="F138" s="79"/>
      <c r="G138" s="79"/>
      <c r="H138" s="79"/>
      <c r="I138" s="79"/>
    </row>
    <row r="139" spans="3:9" x14ac:dyDescent="0.25">
      <c r="C139" s="80"/>
      <c r="D139" s="80"/>
      <c r="E139" s="80"/>
      <c r="F139" s="79"/>
      <c r="G139" s="79"/>
      <c r="H139" s="79"/>
      <c r="I139" s="79"/>
    </row>
    <row r="140" spans="3:9" x14ac:dyDescent="0.25">
      <c r="C140" s="80"/>
      <c r="D140" s="80"/>
      <c r="E140" s="80"/>
      <c r="F140" s="79"/>
      <c r="G140" s="79"/>
      <c r="H140" s="79"/>
      <c r="I140" s="79"/>
    </row>
    <row r="141" spans="3:9" x14ac:dyDescent="0.25">
      <c r="C141" s="80"/>
      <c r="D141" s="80"/>
      <c r="E141" s="80"/>
      <c r="F141" s="79"/>
      <c r="G141" s="79"/>
      <c r="H141" s="79"/>
      <c r="I141" s="79"/>
    </row>
    <row r="142" spans="3:9" x14ac:dyDescent="0.25">
      <c r="C142" s="80"/>
      <c r="D142" s="80"/>
      <c r="E142" s="80"/>
      <c r="F142" s="79"/>
      <c r="G142" s="79"/>
      <c r="H142" s="79"/>
      <c r="I142" s="79"/>
    </row>
    <row r="143" spans="3:9" x14ac:dyDescent="0.25">
      <c r="C143" s="80"/>
      <c r="D143" s="80"/>
      <c r="E143" s="80"/>
      <c r="F143" s="79"/>
      <c r="G143" s="79"/>
      <c r="H143" s="79"/>
      <c r="I143" s="79"/>
    </row>
    <row r="144" spans="3:9" x14ac:dyDescent="0.25">
      <c r="C144" s="80"/>
      <c r="D144" s="80"/>
      <c r="E144" s="80"/>
      <c r="F144" s="79"/>
      <c r="G144" s="79"/>
      <c r="H144" s="79"/>
      <c r="I144" s="79"/>
    </row>
    <row r="145" spans="3:9" x14ac:dyDescent="0.25">
      <c r="C145" s="80"/>
      <c r="D145" s="80"/>
      <c r="E145" s="80"/>
      <c r="F145" s="79"/>
      <c r="G145" s="79"/>
      <c r="H145" s="79"/>
      <c r="I145" s="79"/>
    </row>
    <row r="146" spans="3:9" x14ac:dyDescent="0.25">
      <c r="C146" s="80"/>
      <c r="D146" s="80"/>
      <c r="E146" s="80"/>
      <c r="F146" s="79"/>
      <c r="G146" s="79"/>
      <c r="H146" s="79"/>
      <c r="I146" s="79"/>
    </row>
    <row r="147" spans="3:9" x14ac:dyDescent="0.25">
      <c r="C147" s="80"/>
      <c r="D147" s="80"/>
      <c r="E147" s="80"/>
      <c r="F147" s="79"/>
      <c r="G147" s="79"/>
      <c r="H147" s="79"/>
      <c r="I147" s="79"/>
    </row>
    <row r="148" spans="3:9" x14ac:dyDescent="0.25">
      <c r="C148" s="80"/>
      <c r="D148" s="80"/>
      <c r="E148" s="80"/>
      <c r="F148" s="79"/>
      <c r="G148" s="79"/>
      <c r="H148" s="79"/>
      <c r="I148" s="79"/>
    </row>
    <row r="149" spans="3:9" x14ac:dyDescent="0.25">
      <c r="C149" s="80"/>
      <c r="D149" s="80"/>
      <c r="E149" s="80"/>
      <c r="F149" s="79"/>
      <c r="G149" s="79"/>
      <c r="H149" s="79"/>
      <c r="I149" s="79"/>
    </row>
    <row r="150" spans="3:9" x14ac:dyDescent="0.25">
      <c r="C150" s="80"/>
      <c r="D150" s="80"/>
      <c r="E150" s="80"/>
      <c r="F150" s="79"/>
      <c r="G150" s="79"/>
      <c r="H150" s="79"/>
      <c r="I150" s="79"/>
    </row>
    <row r="151" spans="3:9" x14ac:dyDescent="0.25">
      <c r="C151" s="80"/>
      <c r="D151" s="80"/>
      <c r="E151" s="80"/>
      <c r="F151" s="79"/>
      <c r="G151" s="79"/>
      <c r="H151" s="79"/>
      <c r="I151" s="79"/>
    </row>
    <row r="152" spans="3:9" x14ac:dyDescent="0.25">
      <c r="C152" s="80"/>
      <c r="D152" s="80"/>
      <c r="E152" s="80"/>
      <c r="F152" s="79"/>
      <c r="G152" s="79"/>
      <c r="H152" s="79"/>
      <c r="I152" s="79"/>
    </row>
    <row r="153" spans="3:9" x14ac:dyDescent="0.25">
      <c r="C153" s="80"/>
      <c r="D153" s="80"/>
      <c r="E153" s="80"/>
      <c r="F153" s="79"/>
      <c r="G153" s="79"/>
      <c r="H153" s="79"/>
      <c r="I153" s="79"/>
    </row>
    <row r="154" spans="3:9" x14ac:dyDescent="0.25">
      <c r="C154" s="80"/>
      <c r="D154" s="80"/>
      <c r="E154" s="80"/>
      <c r="F154" s="79"/>
      <c r="G154" s="79"/>
      <c r="H154" s="79"/>
      <c r="I154" s="79"/>
    </row>
    <row r="155" spans="3:9" x14ac:dyDescent="0.25">
      <c r="C155" s="80"/>
      <c r="D155" s="80"/>
      <c r="E155" s="80"/>
      <c r="F155" s="79"/>
      <c r="G155" s="79"/>
      <c r="H155" s="79"/>
      <c r="I155" s="79"/>
    </row>
    <row r="156" spans="3:9" x14ac:dyDescent="0.25">
      <c r="C156" s="80"/>
      <c r="D156" s="80"/>
      <c r="E156" s="80"/>
      <c r="F156" s="79"/>
      <c r="G156" s="79"/>
      <c r="H156" s="79"/>
      <c r="I156" s="79"/>
    </row>
    <row r="157" spans="3:9" x14ac:dyDescent="0.25">
      <c r="C157" s="80"/>
      <c r="D157" s="80"/>
      <c r="E157" s="80"/>
      <c r="F157" s="79"/>
      <c r="G157" s="79"/>
      <c r="H157" s="79"/>
      <c r="I157" s="79"/>
    </row>
    <row r="158" spans="3:9" x14ac:dyDescent="0.25">
      <c r="C158" s="80"/>
      <c r="D158" s="80"/>
      <c r="E158" s="80"/>
      <c r="F158" s="79"/>
      <c r="G158" s="79"/>
      <c r="H158" s="79"/>
      <c r="I158" s="79"/>
    </row>
    <row r="159" spans="3:9" x14ac:dyDescent="0.25">
      <c r="C159" s="80"/>
      <c r="D159" s="80"/>
      <c r="E159" s="80"/>
      <c r="F159" s="79"/>
      <c r="G159" s="79"/>
      <c r="H159" s="79"/>
      <c r="I159" s="79"/>
    </row>
    <row r="160" spans="3:9" x14ac:dyDescent="0.25">
      <c r="C160" s="80"/>
      <c r="D160" s="80"/>
      <c r="E160" s="80"/>
      <c r="F160" s="79"/>
      <c r="G160" s="79"/>
      <c r="H160" s="79"/>
      <c r="I160" s="79"/>
    </row>
    <row r="161" spans="3:9" x14ac:dyDescent="0.25">
      <c r="C161" s="80"/>
      <c r="D161" s="80"/>
      <c r="E161" s="80"/>
      <c r="F161" s="79"/>
      <c r="G161" s="79"/>
      <c r="H161" s="79"/>
      <c r="I161" s="79"/>
    </row>
    <row r="162" spans="3:9" x14ac:dyDescent="0.25">
      <c r="C162" s="80"/>
      <c r="D162" s="80"/>
      <c r="E162" s="80"/>
      <c r="F162" s="79"/>
      <c r="G162" s="79"/>
      <c r="H162" s="79"/>
      <c r="I162" s="79"/>
    </row>
    <row r="163" spans="3:9" x14ac:dyDescent="0.25">
      <c r="C163" s="80"/>
      <c r="D163" s="80"/>
      <c r="E163" s="80"/>
      <c r="F163" s="79"/>
      <c r="G163" s="79"/>
      <c r="H163" s="79"/>
      <c r="I163" s="79"/>
    </row>
    <row r="164" spans="3:9" x14ac:dyDescent="0.25">
      <c r="C164" s="80"/>
      <c r="D164" s="80"/>
      <c r="E164" s="80"/>
      <c r="F164" s="79"/>
      <c r="G164" s="79"/>
      <c r="H164" s="79"/>
      <c r="I164" s="79"/>
    </row>
    <row r="165" spans="3:9" x14ac:dyDescent="0.25">
      <c r="C165" s="80"/>
      <c r="D165" s="80"/>
      <c r="E165" s="80"/>
      <c r="F165" s="79"/>
      <c r="G165" s="79"/>
      <c r="H165" s="79"/>
      <c r="I165" s="79"/>
    </row>
    <row r="166" spans="3:9" x14ac:dyDescent="0.25">
      <c r="C166" s="80"/>
      <c r="D166" s="80"/>
      <c r="E166" s="80"/>
      <c r="F166" s="79"/>
      <c r="G166" s="79"/>
      <c r="H166" s="79"/>
      <c r="I166" s="79"/>
    </row>
    <row r="167" spans="3:9" x14ac:dyDescent="0.25">
      <c r="C167" s="80"/>
      <c r="D167" s="80"/>
      <c r="E167" s="80"/>
      <c r="F167" s="79"/>
      <c r="G167" s="79"/>
      <c r="H167" s="79"/>
      <c r="I167" s="79"/>
    </row>
    <row r="168" spans="3:9" x14ac:dyDescent="0.25">
      <c r="C168" s="80"/>
      <c r="D168" s="80"/>
      <c r="E168" s="80"/>
      <c r="F168" s="79"/>
      <c r="G168" s="79"/>
      <c r="H168" s="79"/>
      <c r="I168" s="79"/>
    </row>
    <row r="169" spans="3:9" x14ac:dyDescent="0.25">
      <c r="C169" s="80"/>
      <c r="D169" s="80"/>
      <c r="E169" s="80"/>
      <c r="F169" s="79"/>
      <c r="G169" s="79"/>
      <c r="H169" s="79"/>
      <c r="I169" s="79"/>
    </row>
    <row r="170" spans="3:9" x14ac:dyDescent="0.25">
      <c r="C170" s="80"/>
      <c r="D170" s="80"/>
      <c r="E170" s="80"/>
      <c r="F170" s="79"/>
      <c r="G170" s="79"/>
      <c r="H170" s="79"/>
      <c r="I170" s="79"/>
    </row>
    <row r="171" spans="3:9" x14ac:dyDescent="0.25">
      <c r="C171" s="80"/>
      <c r="D171" s="80"/>
      <c r="E171" s="80"/>
      <c r="F171" s="79"/>
      <c r="G171" s="79"/>
      <c r="H171" s="79"/>
      <c r="I171" s="79"/>
    </row>
    <row r="172" spans="3:9" x14ac:dyDescent="0.25">
      <c r="C172" s="80"/>
      <c r="D172" s="80"/>
      <c r="E172" s="80"/>
      <c r="F172" s="79"/>
      <c r="G172" s="79"/>
      <c r="H172" s="79"/>
      <c r="I172" s="79"/>
    </row>
    <row r="173" spans="3:9" x14ac:dyDescent="0.25">
      <c r="C173" s="80"/>
      <c r="D173" s="80"/>
      <c r="E173" s="80"/>
      <c r="F173" s="79"/>
      <c r="G173" s="79"/>
      <c r="H173" s="79"/>
      <c r="I173" s="79"/>
    </row>
    <row r="174" spans="3:9" x14ac:dyDescent="0.25">
      <c r="C174" s="80"/>
      <c r="D174" s="80"/>
      <c r="E174" s="80"/>
      <c r="F174" s="79"/>
      <c r="G174" s="79"/>
      <c r="H174" s="79"/>
      <c r="I174" s="79"/>
    </row>
    <row r="175" spans="3:9" x14ac:dyDescent="0.25">
      <c r="C175" s="80"/>
      <c r="D175" s="80"/>
      <c r="E175" s="80"/>
      <c r="F175" s="79"/>
      <c r="G175" s="79"/>
      <c r="H175" s="79"/>
      <c r="I175" s="79"/>
    </row>
    <row r="176" spans="3:9" x14ac:dyDescent="0.25">
      <c r="C176" s="80"/>
      <c r="D176" s="80"/>
      <c r="E176" s="80"/>
      <c r="F176" s="79"/>
      <c r="G176" s="79"/>
      <c r="H176" s="79"/>
      <c r="I176" s="79"/>
    </row>
    <row r="177" spans="3:9" x14ac:dyDescent="0.25">
      <c r="C177" s="80"/>
      <c r="D177" s="80"/>
      <c r="E177" s="80"/>
      <c r="F177" s="79"/>
      <c r="G177" s="79"/>
      <c r="H177" s="79"/>
      <c r="I177" s="79"/>
    </row>
    <row r="178" spans="3:9" x14ac:dyDescent="0.25">
      <c r="C178" s="80"/>
      <c r="D178" s="80"/>
      <c r="E178" s="80"/>
      <c r="F178" s="79"/>
      <c r="G178" s="79"/>
      <c r="H178" s="79"/>
      <c r="I178" s="79"/>
    </row>
    <row r="179" spans="3:9" x14ac:dyDescent="0.25">
      <c r="C179" s="80"/>
      <c r="D179" s="80"/>
      <c r="E179" s="80"/>
      <c r="F179" s="79"/>
      <c r="G179" s="79"/>
      <c r="H179" s="79"/>
      <c r="I179" s="79"/>
    </row>
    <row r="180" spans="3:9" x14ac:dyDescent="0.25">
      <c r="C180" s="80"/>
      <c r="D180" s="80"/>
      <c r="E180" s="80"/>
      <c r="F180" s="79"/>
      <c r="G180" s="79"/>
      <c r="H180" s="79"/>
      <c r="I180" s="79"/>
    </row>
    <row r="181" spans="3:9" x14ac:dyDescent="0.25">
      <c r="C181" s="80"/>
      <c r="D181" s="80"/>
      <c r="E181" s="80"/>
      <c r="F181" s="79"/>
      <c r="G181" s="79"/>
      <c r="H181" s="79"/>
      <c r="I181" s="79"/>
    </row>
    <row r="182" spans="3:9" x14ac:dyDescent="0.25">
      <c r="C182" s="80"/>
      <c r="D182" s="80"/>
      <c r="E182" s="80"/>
      <c r="F182" s="79"/>
      <c r="G182" s="79"/>
      <c r="H182" s="79"/>
      <c r="I182" s="79"/>
    </row>
    <row r="183" spans="3:9" x14ac:dyDescent="0.25">
      <c r="C183" s="80"/>
      <c r="D183" s="80"/>
      <c r="E183" s="80"/>
      <c r="F183" s="79"/>
      <c r="G183" s="79"/>
      <c r="H183" s="79"/>
      <c r="I183" s="79"/>
    </row>
    <row r="184" spans="3:9" x14ac:dyDescent="0.25">
      <c r="C184" s="80"/>
      <c r="D184" s="80"/>
      <c r="E184" s="80"/>
      <c r="F184" s="79"/>
      <c r="G184" s="79"/>
      <c r="H184" s="79"/>
      <c r="I184" s="79"/>
    </row>
    <row r="185" spans="3:9" x14ac:dyDescent="0.25">
      <c r="C185" s="80"/>
      <c r="D185" s="80"/>
      <c r="E185" s="80"/>
      <c r="F185" s="79"/>
      <c r="G185" s="79"/>
      <c r="H185" s="79"/>
      <c r="I185" s="79"/>
    </row>
    <row r="186" spans="3:9" x14ac:dyDescent="0.25">
      <c r="C186" s="80"/>
      <c r="D186" s="80"/>
      <c r="E186" s="80"/>
      <c r="F186" s="79"/>
      <c r="G186" s="79"/>
      <c r="H186" s="79"/>
      <c r="I186" s="79"/>
    </row>
    <row r="187" spans="3:9" x14ac:dyDescent="0.25">
      <c r="C187" s="80"/>
      <c r="D187" s="80"/>
      <c r="E187" s="80"/>
      <c r="F187" s="79"/>
      <c r="G187" s="79"/>
      <c r="H187" s="79"/>
      <c r="I187" s="79"/>
    </row>
    <row r="188" spans="3:9" x14ac:dyDescent="0.25">
      <c r="C188" s="80"/>
      <c r="D188" s="80"/>
      <c r="E188" s="80"/>
      <c r="F188" s="79"/>
      <c r="G188" s="79"/>
      <c r="H188" s="79"/>
      <c r="I188" s="79"/>
    </row>
    <row r="189" spans="3:9" x14ac:dyDescent="0.25">
      <c r="C189" s="80"/>
      <c r="D189" s="80"/>
      <c r="E189" s="80"/>
      <c r="F189" s="79"/>
      <c r="G189" s="79"/>
      <c r="H189" s="79"/>
      <c r="I189" s="79"/>
    </row>
    <row r="190" spans="3:9" x14ac:dyDescent="0.25">
      <c r="C190" s="80"/>
      <c r="D190" s="80"/>
      <c r="E190" s="80"/>
      <c r="F190" s="79"/>
      <c r="G190" s="79"/>
      <c r="H190" s="79"/>
      <c r="I190" s="79"/>
    </row>
    <row r="191" spans="3:9" x14ac:dyDescent="0.25">
      <c r="C191" s="80"/>
      <c r="D191" s="80"/>
      <c r="E191" s="80"/>
      <c r="F191" s="79"/>
      <c r="G191" s="79"/>
      <c r="H191" s="79"/>
      <c r="I191" s="79"/>
    </row>
    <row r="192" spans="3:9" x14ac:dyDescent="0.25">
      <c r="C192" s="80"/>
      <c r="D192" s="80"/>
      <c r="E192" s="80"/>
      <c r="F192" s="79"/>
      <c r="G192" s="79"/>
      <c r="H192" s="79"/>
      <c r="I192" s="79"/>
    </row>
    <row r="193" spans="3:9" x14ac:dyDescent="0.25">
      <c r="C193" s="80"/>
      <c r="D193" s="80"/>
      <c r="E193" s="80"/>
      <c r="F193" s="79"/>
      <c r="G193" s="79"/>
      <c r="H193" s="79"/>
      <c r="I193" s="79"/>
    </row>
    <row r="194" spans="3:9" x14ac:dyDescent="0.25">
      <c r="C194" s="80"/>
      <c r="D194" s="80"/>
      <c r="E194" s="80"/>
      <c r="F194" s="79"/>
      <c r="G194" s="79"/>
      <c r="H194" s="79"/>
      <c r="I194" s="79"/>
    </row>
    <row r="195" spans="3:9" x14ac:dyDescent="0.25">
      <c r="C195" s="80"/>
      <c r="D195" s="80"/>
      <c r="E195" s="80"/>
      <c r="F195" s="79"/>
      <c r="G195" s="79"/>
      <c r="H195" s="79"/>
      <c r="I195" s="79"/>
    </row>
    <row r="196" spans="3:9" x14ac:dyDescent="0.25">
      <c r="C196" s="80"/>
      <c r="D196" s="80"/>
      <c r="E196" s="80"/>
      <c r="F196" s="79"/>
      <c r="G196" s="79"/>
      <c r="H196" s="79"/>
      <c r="I196" s="79"/>
    </row>
    <row r="197" spans="3:9" x14ac:dyDescent="0.25">
      <c r="C197" s="80"/>
      <c r="D197" s="80"/>
      <c r="E197" s="80"/>
      <c r="F197" s="79"/>
      <c r="G197" s="79"/>
      <c r="H197" s="79"/>
      <c r="I197" s="79"/>
    </row>
    <row r="198" spans="3:9" x14ac:dyDescent="0.25">
      <c r="C198" s="80"/>
      <c r="D198" s="80"/>
      <c r="E198" s="80"/>
      <c r="F198" s="79"/>
      <c r="G198" s="79"/>
      <c r="H198" s="79"/>
      <c r="I198" s="79"/>
    </row>
    <row r="199" spans="3:9" x14ac:dyDescent="0.25">
      <c r="C199" s="80"/>
      <c r="D199" s="80"/>
      <c r="E199" s="80"/>
      <c r="F199" s="79"/>
      <c r="G199" s="79"/>
      <c r="H199" s="79"/>
      <c r="I199" s="79"/>
    </row>
    <row r="200" spans="3:9" x14ac:dyDescent="0.25">
      <c r="C200" s="80"/>
      <c r="D200" s="80"/>
      <c r="E200" s="80"/>
      <c r="F200" s="79"/>
      <c r="G200" s="79"/>
      <c r="H200" s="79"/>
      <c r="I200" s="79"/>
    </row>
    <row r="201" spans="3:9" x14ac:dyDescent="0.25">
      <c r="C201" s="80"/>
      <c r="D201" s="80"/>
      <c r="E201" s="80"/>
      <c r="F201" s="79"/>
      <c r="G201" s="79"/>
      <c r="H201" s="79"/>
      <c r="I201" s="79"/>
    </row>
    <row r="202" spans="3:9" x14ac:dyDescent="0.25">
      <c r="C202" s="80"/>
      <c r="D202" s="80"/>
      <c r="E202" s="80"/>
      <c r="F202" s="79"/>
      <c r="G202" s="79"/>
      <c r="H202" s="79"/>
      <c r="I202" s="79"/>
    </row>
    <row r="203" spans="3:9" x14ac:dyDescent="0.25">
      <c r="C203" s="80"/>
      <c r="D203" s="80"/>
      <c r="E203" s="80"/>
      <c r="F203" s="79"/>
      <c r="G203" s="79"/>
      <c r="H203" s="79"/>
      <c r="I203" s="79"/>
    </row>
    <row r="204" spans="3:9" x14ac:dyDescent="0.25">
      <c r="C204" s="80"/>
      <c r="D204" s="80"/>
      <c r="E204" s="80"/>
      <c r="F204" s="79"/>
      <c r="G204" s="79"/>
      <c r="H204" s="79"/>
      <c r="I204" s="79"/>
    </row>
    <row r="205" spans="3:9" x14ac:dyDescent="0.25">
      <c r="C205" s="80"/>
      <c r="D205" s="80"/>
      <c r="E205" s="80"/>
      <c r="F205" s="79"/>
      <c r="G205" s="79"/>
      <c r="H205" s="79"/>
      <c r="I205" s="79"/>
    </row>
    <row r="206" spans="3:9" x14ac:dyDescent="0.25">
      <c r="C206" s="80"/>
      <c r="D206" s="80"/>
      <c r="E206" s="80"/>
      <c r="F206" s="79"/>
      <c r="G206" s="79"/>
      <c r="H206" s="79"/>
      <c r="I206" s="79"/>
    </row>
    <row r="207" spans="3:9" x14ac:dyDescent="0.25">
      <c r="C207" s="80"/>
      <c r="D207" s="80"/>
      <c r="E207" s="80"/>
      <c r="F207" s="79"/>
      <c r="G207" s="79"/>
      <c r="H207" s="79"/>
      <c r="I207" s="79"/>
    </row>
    <row r="208" spans="3:9" x14ac:dyDescent="0.25">
      <c r="C208" s="80"/>
      <c r="D208" s="80"/>
      <c r="E208" s="80"/>
      <c r="F208" s="79"/>
      <c r="G208" s="79"/>
      <c r="H208" s="79"/>
      <c r="I208" s="79"/>
    </row>
    <row r="209" spans="3:9" x14ac:dyDescent="0.25">
      <c r="C209" s="80"/>
      <c r="D209" s="80"/>
      <c r="E209" s="80"/>
      <c r="F209" s="79"/>
      <c r="G209" s="79"/>
      <c r="H209" s="79"/>
      <c r="I209" s="79"/>
    </row>
    <row r="210" spans="3:9" x14ac:dyDescent="0.25">
      <c r="C210" s="80"/>
      <c r="D210" s="80"/>
      <c r="E210" s="80"/>
      <c r="F210" s="79"/>
      <c r="G210" s="79"/>
      <c r="H210" s="79"/>
      <c r="I210" s="79"/>
    </row>
    <row r="211" spans="3:9" x14ac:dyDescent="0.25">
      <c r="C211" s="80"/>
      <c r="D211" s="80"/>
      <c r="E211" s="80"/>
      <c r="F211" s="79"/>
      <c r="G211" s="79"/>
      <c r="H211" s="79"/>
      <c r="I211" s="79"/>
    </row>
    <row r="212" spans="3:9" x14ac:dyDescent="0.25">
      <c r="C212" s="80"/>
      <c r="D212" s="80"/>
      <c r="E212" s="80"/>
      <c r="F212" s="79"/>
      <c r="G212" s="79"/>
      <c r="H212" s="79"/>
      <c r="I212" s="79"/>
    </row>
    <row r="213" spans="3:9" x14ac:dyDescent="0.25">
      <c r="C213" s="80"/>
      <c r="D213" s="80"/>
      <c r="E213" s="80"/>
      <c r="F213" s="79"/>
      <c r="G213" s="79"/>
      <c r="H213" s="79"/>
      <c r="I213" s="79"/>
    </row>
    <row r="214" spans="3:9" x14ac:dyDescent="0.25">
      <c r="C214" s="80"/>
      <c r="D214" s="80"/>
      <c r="E214" s="80"/>
      <c r="F214" s="79"/>
      <c r="G214" s="79"/>
      <c r="H214" s="79"/>
      <c r="I214" s="79"/>
    </row>
    <row r="215" spans="3:9" x14ac:dyDescent="0.25">
      <c r="C215" s="80"/>
      <c r="D215" s="80"/>
      <c r="E215" s="80"/>
      <c r="F215" s="79"/>
      <c r="G215" s="79"/>
      <c r="H215" s="79"/>
      <c r="I215" s="79"/>
    </row>
    <row r="216" spans="3:9" x14ac:dyDescent="0.25">
      <c r="C216" s="80"/>
      <c r="D216" s="80"/>
      <c r="E216" s="80"/>
      <c r="F216" s="79"/>
      <c r="G216" s="79"/>
      <c r="H216" s="79"/>
      <c r="I216" s="79"/>
    </row>
    <row r="217" spans="3:9" x14ac:dyDescent="0.25">
      <c r="C217" s="80"/>
      <c r="D217" s="80"/>
      <c r="E217" s="80"/>
      <c r="F217" s="79"/>
      <c r="G217" s="79"/>
      <c r="H217" s="79"/>
      <c r="I217" s="79"/>
    </row>
    <row r="218" spans="3:9" x14ac:dyDescent="0.25">
      <c r="C218" s="80"/>
      <c r="D218" s="80"/>
      <c r="E218" s="80"/>
      <c r="F218" s="79"/>
      <c r="G218" s="79"/>
      <c r="H218" s="79"/>
      <c r="I218" s="79"/>
    </row>
    <row r="219" spans="3:9" x14ac:dyDescent="0.25">
      <c r="C219" s="80"/>
      <c r="D219" s="80"/>
      <c r="E219" s="80"/>
      <c r="F219" s="79"/>
      <c r="G219" s="79"/>
      <c r="H219" s="79"/>
      <c r="I219" s="79"/>
    </row>
    <row r="220" spans="3:9" x14ac:dyDescent="0.25">
      <c r="C220" s="80"/>
      <c r="D220" s="80"/>
      <c r="E220" s="80"/>
      <c r="F220" s="79"/>
      <c r="G220" s="79"/>
      <c r="H220" s="79"/>
      <c r="I220" s="79"/>
    </row>
    <row r="221" spans="3:9" x14ac:dyDescent="0.25">
      <c r="C221" s="80"/>
      <c r="D221" s="80"/>
      <c r="E221" s="80"/>
      <c r="F221" s="79"/>
      <c r="G221" s="79"/>
      <c r="H221" s="79"/>
      <c r="I221" s="79"/>
    </row>
    <row r="222" spans="3:9" x14ac:dyDescent="0.25">
      <c r="C222" s="80"/>
      <c r="D222" s="80"/>
      <c r="E222" s="80"/>
      <c r="F222" s="79"/>
      <c r="G222" s="79"/>
      <c r="H222" s="79"/>
      <c r="I222" s="79"/>
    </row>
    <row r="223" spans="3:9" x14ac:dyDescent="0.25">
      <c r="C223" s="80"/>
      <c r="D223" s="80"/>
      <c r="E223" s="80"/>
      <c r="F223" s="79"/>
      <c r="G223" s="79"/>
      <c r="H223" s="79"/>
      <c r="I223" s="79"/>
    </row>
    <row r="224" spans="3:9" x14ac:dyDescent="0.25">
      <c r="C224" s="80"/>
      <c r="D224" s="80"/>
      <c r="E224" s="80"/>
      <c r="F224" s="79"/>
      <c r="G224" s="79"/>
      <c r="H224" s="79"/>
      <c r="I224" s="79"/>
    </row>
  </sheetData>
  <sortState ref="L4:M28">
    <sortCondition descending="1" ref="L4"/>
  </sortState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X31"/>
  <sheetViews>
    <sheetView showGridLines="0" zoomScale="98" zoomScaleNormal="98" workbookViewId="0">
      <pane ySplit="4" topLeftCell="A5" activePane="bottomLeft" state="frozen"/>
      <selection pane="bottomLeft" sqref="A1:E1048576"/>
    </sheetView>
  </sheetViews>
  <sheetFormatPr defaultRowHeight="15" x14ac:dyDescent="0.25"/>
  <cols>
    <col min="1" max="1" width="5.5703125" customWidth="1"/>
    <col min="2" max="2" width="0" hidden="1" customWidth="1"/>
    <col min="3" max="3" width="6" hidden="1" customWidth="1"/>
    <col min="4" max="4" width="0" hidden="1" customWidth="1"/>
    <col min="5" max="5" width="9.140625" customWidth="1"/>
    <col min="6" max="6" width="9.28515625" customWidth="1"/>
    <col min="7" max="7" width="10.140625" customWidth="1"/>
    <col min="8" max="8" width="3.5703125" customWidth="1"/>
    <col min="9" max="10" width="5.28515625" customWidth="1"/>
    <col min="11" max="11" width="10.42578125" customWidth="1"/>
    <col min="13" max="13" width="7.28515625" customWidth="1"/>
    <col min="18" max="18" width="14.5703125" customWidth="1"/>
    <col min="20" max="20" width="13.140625" customWidth="1"/>
    <col min="21" max="21" width="10.28515625" customWidth="1"/>
  </cols>
  <sheetData>
    <row r="2" spans="2:24" ht="27.75" customHeight="1" x14ac:dyDescent="0.25">
      <c r="B2" s="504" t="s">
        <v>350</v>
      </c>
      <c r="C2" s="504"/>
      <c r="D2" s="504"/>
      <c r="E2" s="504"/>
      <c r="F2" s="504"/>
      <c r="G2" s="504"/>
      <c r="H2" s="504"/>
      <c r="I2" s="504"/>
      <c r="J2" s="504"/>
      <c r="K2" s="504"/>
      <c r="L2" s="504"/>
      <c r="M2" s="504"/>
      <c r="N2" s="504"/>
      <c r="O2" s="504"/>
      <c r="P2" s="504"/>
      <c r="Q2" s="504"/>
      <c r="R2" s="504"/>
      <c r="S2" s="504"/>
      <c r="T2" s="504"/>
      <c r="U2" s="504"/>
    </row>
    <row r="3" spans="2:24" ht="9" customHeight="1" x14ac:dyDescent="0.25"/>
    <row r="4" spans="2:24" ht="43.5" customHeight="1" x14ac:dyDescent="0.25">
      <c r="B4" s="505" t="s">
        <v>1</v>
      </c>
      <c r="C4" s="505"/>
      <c r="D4" s="505"/>
      <c r="E4" s="505" t="s">
        <v>351</v>
      </c>
      <c r="F4" s="505"/>
      <c r="G4" s="505"/>
      <c r="I4" s="505" t="s">
        <v>0</v>
      </c>
      <c r="J4" s="505"/>
      <c r="K4" s="505"/>
      <c r="L4" s="505"/>
      <c r="M4" s="505"/>
      <c r="N4" s="505"/>
      <c r="O4" s="505"/>
      <c r="P4" s="505"/>
      <c r="Q4" s="505"/>
      <c r="R4" s="505"/>
      <c r="S4" s="505"/>
      <c r="T4" s="505"/>
      <c r="U4" s="505"/>
    </row>
    <row r="5" spans="2:24" ht="9" customHeight="1" x14ac:dyDescent="0.25">
      <c r="B5" s="2"/>
      <c r="C5" s="2"/>
      <c r="D5" s="2"/>
      <c r="E5" s="2"/>
      <c r="F5" s="2"/>
      <c r="G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2:24" x14ac:dyDescent="0.25">
      <c r="B6" s="3"/>
      <c r="C6" s="3"/>
      <c r="D6" s="3"/>
      <c r="E6" s="3"/>
      <c r="F6" s="3"/>
      <c r="G6" s="3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2:24" x14ac:dyDescent="0.25">
      <c r="B7" s="3"/>
      <c r="C7" s="3"/>
      <c r="D7" s="3"/>
      <c r="E7" s="3"/>
      <c r="F7" s="3"/>
      <c r="G7" s="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2:24" x14ac:dyDescent="0.25">
      <c r="B8" s="3"/>
      <c r="C8" s="3"/>
      <c r="D8" s="3"/>
      <c r="E8" s="3"/>
      <c r="F8" s="3"/>
      <c r="G8" s="3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2:24" x14ac:dyDescent="0.25">
      <c r="B9" s="3"/>
      <c r="C9" s="3"/>
      <c r="D9" s="3"/>
      <c r="E9" s="3"/>
      <c r="F9" s="3"/>
      <c r="G9" s="3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2:24" x14ac:dyDescent="0.25">
      <c r="B10" s="3"/>
      <c r="C10" s="3"/>
      <c r="D10" s="3"/>
      <c r="E10" s="3"/>
      <c r="F10" s="3"/>
      <c r="G10" s="3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2:24" x14ac:dyDescent="0.25">
      <c r="B11" s="3"/>
      <c r="C11" s="3"/>
      <c r="D11" s="3"/>
      <c r="E11" s="3"/>
      <c r="F11" s="3"/>
      <c r="G11" s="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2:24" x14ac:dyDescent="0.25">
      <c r="B12" s="3"/>
      <c r="C12" s="3"/>
      <c r="D12" s="3"/>
      <c r="E12" s="3"/>
      <c r="F12" s="3"/>
      <c r="G12" s="3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2:24" x14ac:dyDescent="0.25">
      <c r="B13" s="3"/>
      <c r="C13" s="3"/>
      <c r="D13" s="3"/>
      <c r="E13" s="3"/>
      <c r="F13" s="3"/>
      <c r="G13" s="3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2:24" x14ac:dyDescent="0.25">
      <c r="B14" s="3"/>
      <c r="C14" s="3"/>
      <c r="D14" s="3"/>
      <c r="E14" s="3"/>
      <c r="F14" s="3"/>
      <c r="G14" s="3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2:24" x14ac:dyDescent="0.25">
      <c r="B15" s="3"/>
      <c r="C15" s="3"/>
      <c r="D15" s="3"/>
      <c r="E15" s="3"/>
      <c r="F15" s="3"/>
      <c r="G15" s="3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X15" s="170"/>
    </row>
    <row r="16" spans="2:24" x14ac:dyDescent="0.25">
      <c r="B16" s="3"/>
      <c r="C16" s="3"/>
      <c r="D16" s="3"/>
      <c r="E16" s="3"/>
      <c r="F16" s="3"/>
      <c r="G16" s="3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2:21" x14ac:dyDescent="0.25">
      <c r="B17" s="3"/>
      <c r="C17" s="3"/>
      <c r="D17" s="3"/>
      <c r="E17" s="3"/>
      <c r="F17" s="3"/>
      <c r="G17" s="3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2:21" x14ac:dyDescent="0.25">
      <c r="B18" s="3"/>
      <c r="C18" s="3"/>
      <c r="D18" s="3"/>
      <c r="E18" s="3"/>
      <c r="F18" s="3"/>
      <c r="G18" s="3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2:21" x14ac:dyDescent="0.25">
      <c r="B19" s="3"/>
      <c r="C19" s="3"/>
      <c r="D19" s="3"/>
      <c r="E19" s="3"/>
      <c r="F19" s="3"/>
      <c r="G19" s="3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2:21" x14ac:dyDescent="0.25">
      <c r="B20" s="3"/>
      <c r="C20" s="3"/>
      <c r="D20" s="3"/>
      <c r="E20" s="3"/>
      <c r="F20" s="3"/>
      <c r="G20" s="3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2:21" x14ac:dyDescent="0.25">
      <c r="B21" s="3"/>
      <c r="C21" s="3"/>
      <c r="D21" s="3"/>
      <c r="E21" s="3"/>
      <c r="F21" s="3"/>
      <c r="G21" s="3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2:21" x14ac:dyDescent="0.25">
      <c r="B22" s="3"/>
      <c r="C22" s="3"/>
      <c r="D22" s="3"/>
      <c r="E22" s="3"/>
      <c r="F22" s="3"/>
      <c r="G22" s="3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2:21" x14ac:dyDescent="0.25">
      <c r="B23" s="3"/>
      <c r="C23" s="3"/>
      <c r="D23" s="3"/>
      <c r="E23" s="3"/>
      <c r="F23" s="3"/>
      <c r="G23" s="3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2:21" x14ac:dyDescent="0.25">
      <c r="B24" s="3"/>
      <c r="C24" s="3"/>
      <c r="D24" s="3"/>
      <c r="E24" s="3"/>
      <c r="F24" s="3"/>
      <c r="G24" s="3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2:21" x14ac:dyDescent="0.25">
      <c r="B25" s="2"/>
      <c r="C25" s="2"/>
      <c r="D25" s="2"/>
      <c r="E25" s="2"/>
      <c r="F25" s="2"/>
      <c r="G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2:21" x14ac:dyDescent="0.25">
      <c r="B26" s="2"/>
      <c r="C26" s="2"/>
      <c r="D26" s="2"/>
      <c r="E26" s="2"/>
      <c r="F26" s="2"/>
      <c r="G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2:21" ht="23.25" customHeight="1" x14ac:dyDescent="0.25">
      <c r="B27" s="2"/>
      <c r="C27" s="2"/>
      <c r="D27" s="2"/>
      <c r="E27" s="2"/>
      <c r="F27" s="2"/>
      <c r="G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2:21" x14ac:dyDescent="0.25">
      <c r="B28" s="1"/>
      <c r="C28" s="1"/>
      <c r="D28" s="1"/>
      <c r="E28" s="1"/>
      <c r="F28" s="1"/>
      <c r="G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30" spans="2:21" ht="20.25" customHeight="1" x14ac:dyDescent="0.25">
      <c r="B30" s="131"/>
      <c r="C30" s="131"/>
      <c r="D30" s="131"/>
      <c r="E30" s="503" t="s">
        <v>328</v>
      </c>
      <c r="F30" s="503"/>
      <c r="G30" s="503"/>
      <c r="H30" s="503"/>
      <c r="I30" s="198"/>
      <c r="J30" s="198"/>
      <c r="K30" s="198"/>
      <c r="L30" s="198"/>
      <c r="M30" s="198"/>
      <c r="N30" s="131"/>
      <c r="O30" s="131"/>
      <c r="P30" s="131"/>
      <c r="Q30" s="131"/>
      <c r="R30" s="131"/>
      <c r="S30" s="131"/>
      <c r="T30" s="131"/>
      <c r="U30" s="131"/>
    </row>
    <row r="31" spans="2:21" ht="20.25" customHeight="1" x14ac:dyDescent="0.25">
      <c r="B31" s="131"/>
      <c r="C31" s="131"/>
      <c r="D31" s="131"/>
      <c r="E31" s="503"/>
      <c r="F31" s="503"/>
      <c r="G31" s="503"/>
      <c r="H31" s="503"/>
      <c r="I31" s="198"/>
      <c r="J31" s="198"/>
      <c r="K31" s="198"/>
      <c r="L31" s="198"/>
      <c r="M31" s="198"/>
      <c r="N31" s="131"/>
      <c r="O31" s="131"/>
      <c r="P31" s="131"/>
      <c r="Q31" s="131"/>
      <c r="R31" s="131"/>
      <c r="S31" s="131"/>
      <c r="T31" s="131"/>
      <c r="U31" s="131"/>
    </row>
  </sheetData>
  <mergeCells count="8">
    <mergeCell ref="E30:H31"/>
    <mergeCell ref="B2:U2"/>
    <mergeCell ref="B4:D4"/>
    <mergeCell ref="E4:G4"/>
    <mergeCell ref="I4:L4"/>
    <mergeCell ref="M4:P4"/>
    <mergeCell ref="Q4:R4"/>
    <mergeCell ref="S4:U4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5"/>
  <sheetViews>
    <sheetView topLeftCell="A56" workbookViewId="0">
      <selection activeCell="B58" sqref="B58:L86"/>
    </sheetView>
  </sheetViews>
  <sheetFormatPr defaultRowHeight="15" x14ac:dyDescent="0.25"/>
  <cols>
    <col min="1" max="1" width="8" customWidth="1"/>
    <col min="2" max="2" width="8.7109375" customWidth="1"/>
    <col min="3" max="3" width="9.7109375" customWidth="1"/>
    <col min="4" max="4" width="10.85546875" customWidth="1"/>
    <col min="5" max="5" width="11.7109375" customWidth="1"/>
    <col min="6" max="9" width="10.5703125" customWidth="1"/>
    <col min="10" max="10" width="15.42578125" customWidth="1"/>
    <col min="11" max="12" width="12.85546875" customWidth="1"/>
  </cols>
  <sheetData>
    <row r="1" spans="1:13" ht="16.5" thickBot="1" x14ac:dyDescent="0.3">
      <c r="A1" s="512">
        <v>2017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4"/>
      <c r="M1" s="82"/>
    </row>
    <row r="2" spans="1:13" x14ac:dyDescent="0.25">
      <c r="A2" s="97" t="s">
        <v>203</v>
      </c>
      <c r="E2" s="506" t="s">
        <v>60</v>
      </c>
      <c r="F2" s="507"/>
      <c r="G2" s="507"/>
      <c r="H2" s="507"/>
      <c r="I2" s="508"/>
      <c r="J2" s="102" t="s">
        <v>61</v>
      </c>
      <c r="K2" s="101" t="s">
        <v>60</v>
      </c>
      <c r="L2" s="100"/>
      <c r="M2" s="82"/>
    </row>
    <row r="3" spans="1:13" ht="31.5" customHeight="1" x14ac:dyDescent="0.25">
      <c r="A3" t="s">
        <v>202</v>
      </c>
      <c r="B3" s="14" t="s">
        <v>201</v>
      </c>
      <c r="C3" t="s">
        <v>200</v>
      </c>
      <c r="D3" t="s">
        <v>199</v>
      </c>
      <c r="E3" s="94" t="s">
        <v>171</v>
      </c>
      <c r="F3" s="93" t="s">
        <v>53</v>
      </c>
      <c r="G3" s="93" t="s">
        <v>170</v>
      </c>
      <c r="H3" s="55" t="s">
        <v>169</v>
      </c>
      <c r="I3" s="92" t="s">
        <v>168</v>
      </c>
      <c r="J3" s="91" t="s">
        <v>167</v>
      </c>
      <c r="K3" s="90" t="s">
        <v>166</v>
      </c>
      <c r="L3" s="99"/>
    </row>
    <row r="4" spans="1:13" x14ac:dyDescent="0.25">
      <c r="B4" t="s">
        <v>173</v>
      </c>
      <c r="C4" s="83">
        <v>42736</v>
      </c>
      <c r="D4" s="83">
        <v>43100</v>
      </c>
      <c r="E4" t="s">
        <v>164</v>
      </c>
      <c r="F4" s="87">
        <v>177300.28988803519</v>
      </c>
      <c r="G4" s="87">
        <v>12910.716568204261</v>
      </c>
      <c r="H4" s="87">
        <v>29754.244107567603</v>
      </c>
      <c r="I4" s="87">
        <v>219965.25056380706</v>
      </c>
      <c r="J4" s="87">
        <v>233440.07259529771</v>
      </c>
      <c r="K4" s="86">
        <v>102.73535038965235</v>
      </c>
      <c r="L4" s="98"/>
    </row>
    <row r="5" spans="1:13" x14ac:dyDescent="0.25">
      <c r="B5" t="s">
        <v>174</v>
      </c>
      <c r="C5" s="83">
        <v>42736</v>
      </c>
      <c r="D5" s="83">
        <v>43100</v>
      </c>
      <c r="E5" t="s">
        <v>164</v>
      </c>
      <c r="F5" s="87">
        <v>151635.58759078174</v>
      </c>
      <c r="G5" s="87">
        <v>11041.85500358738</v>
      </c>
      <c r="H5" s="87">
        <v>25447.23582471165</v>
      </c>
      <c r="I5" s="87">
        <v>188124.67841908077</v>
      </c>
      <c r="J5" s="87">
        <v>199648.98307598018</v>
      </c>
      <c r="K5" s="86">
        <v>87.864127196393639</v>
      </c>
      <c r="L5" s="98"/>
    </row>
    <row r="6" spans="1:13" x14ac:dyDescent="0.25">
      <c r="B6" t="s">
        <v>175</v>
      </c>
      <c r="C6" s="83">
        <v>42736</v>
      </c>
      <c r="D6" s="83">
        <v>43100</v>
      </c>
      <c r="E6" t="s">
        <v>164</v>
      </c>
      <c r="F6" s="87">
        <v>150876.28191615414</v>
      </c>
      <c r="G6" s="87">
        <v>10986.563608632885</v>
      </c>
      <c r="H6" s="87">
        <v>25319.810390667531</v>
      </c>
      <c r="I6" s="87">
        <v>187182.65591545455</v>
      </c>
      <c r="J6" s="87">
        <v>198649.25334108225</v>
      </c>
      <c r="K6" s="86">
        <v>87.424650928680421</v>
      </c>
      <c r="L6" s="98"/>
    </row>
    <row r="7" spans="1:13" x14ac:dyDescent="0.25">
      <c r="B7" t="s">
        <v>176</v>
      </c>
      <c r="C7" s="83">
        <v>42736</v>
      </c>
      <c r="D7" s="83">
        <v>43100</v>
      </c>
      <c r="E7" t="s">
        <v>164</v>
      </c>
      <c r="F7" s="87">
        <v>146209.36730676805</v>
      </c>
      <c r="G7" s="87">
        <v>10646.726534436077</v>
      </c>
      <c r="H7" s="87">
        <v>24536.616428579047</v>
      </c>
      <c r="I7" s="87">
        <v>181392.71026978316</v>
      </c>
      <c r="J7" s="87">
        <v>192504.62218509754</v>
      </c>
      <c r="K7" s="86">
        <v>84.72044105901935</v>
      </c>
      <c r="L7" s="98"/>
    </row>
    <row r="8" spans="1:13" x14ac:dyDescent="0.25">
      <c r="B8" t="s">
        <v>177</v>
      </c>
      <c r="C8" s="83">
        <v>42736</v>
      </c>
      <c r="D8" s="83">
        <v>43100</v>
      </c>
      <c r="E8" t="s">
        <v>164</v>
      </c>
      <c r="F8" s="87">
        <v>141546.08318197515</v>
      </c>
      <c r="G8" s="87">
        <v>10307.153826178082</v>
      </c>
      <c r="H8" s="87">
        <v>23754.031728465721</v>
      </c>
      <c r="I8" s="87">
        <v>175607.26873661895</v>
      </c>
      <c r="J8" s="87">
        <v>186364.77105844906</v>
      </c>
      <c r="K8" s="86">
        <v>82.018335454534082</v>
      </c>
      <c r="L8" s="98"/>
    </row>
    <row r="9" spans="1:13" x14ac:dyDescent="0.25">
      <c r="B9" t="s">
        <v>178</v>
      </c>
      <c r="C9" s="83">
        <v>42736</v>
      </c>
      <c r="D9" s="83">
        <v>43100</v>
      </c>
      <c r="E9" t="s">
        <v>164</v>
      </c>
      <c r="F9" s="87">
        <v>131808.58825313798</v>
      </c>
      <c r="G9" s="87">
        <v>9598.0854022632993</v>
      </c>
      <c r="H9" s="87">
        <v>22119.901286311408</v>
      </c>
      <c r="I9" s="87">
        <v>163526.57494171269</v>
      </c>
      <c r="J9" s="87">
        <v>173544.02764895116</v>
      </c>
      <c r="K9" s="86">
        <v>76.375518094769717</v>
      </c>
      <c r="L9" s="98"/>
    </row>
    <row r="10" spans="1:13" x14ac:dyDescent="0.25">
      <c r="B10" t="s">
        <v>179</v>
      </c>
      <c r="C10" s="83">
        <v>42736</v>
      </c>
      <c r="D10" s="83">
        <v>43100</v>
      </c>
      <c r="E10" t="s">
        <v>164</v>
      </c>
      <c r="F10" s="87">
        <v>131238.6919999088</v>
      </c>
      <c r="G10" s="87">
        <v>9556.5864909903994</v>
      </c>
      <c r="H10" s="87">
        <v>22024.262230981738</v>
      </c>
      <c r="I10" s="87">
        <v>162819.54072188094</v>
      </c>
      <c r="J10" s="87">
        <v>172793.681313874</v>
      </c>
      <c r="K10" s="86">
        <v>76.045669541384768</v>
      </c>
      <c r="L10" s="98"/>
    </row>
    <row r="11" spans="1:13" x14ac:dyDescent="0.25">
      <c r="B11" t="s">
        <v>180</v>
      </c>
      <c r="C11" s="83">
        <v>42736</v>
      </c>
      <c r="D11" s="83">
        <v>43100</v>
      </c>
      <c r="E11" t="s">
        <v>164</v>
      </c>
      <c r="F11" s="87">
        <v>127736.68397717198</v>
      </c>
      <c r="G11" s="87">
        <v>9301.5760055045321</v>
      </c>
      <c r="H11" s="87">
        <v>21436.560983335872</v>
      </c>
      <c r="I11" s="87">
        <v>158474.8209660124</v>
      </c>
      <c r="J11" s="87">
        <v>168182.80894827747</v>
      </c>
      <c r="K11" s="86">
        <v>74.016455870516495</v>
      </c>
      <c r="L11" s="98"/>
    </row>
    <row r="12" spans="1:13" x14ac:dyDescent="0.25">
      <c r="B12" t="s">
        <v>181</v>
      </c>
      <c r="C12" s="83">
        <v>42736</v>
      </c>
      <c r="D12" s="83">
        <v>43100</v>
      </c>
      <c r="E12" t="s">
        <v>164</v>
      </c>
      <c r="F12" s="87">
        <v>124240.42697309986</v>
      </c>
      <c r="G12" s="87">
        <v>9046.9842997736541</v>
      </c>
      <c r="H12" s="87">
        <v>20849.824862218142</v>
      </c>
      <c r="I12" s="87">
        <v>154137.23613509166</v>
      </c>
      <c r="J12" s="87">
        <v>163579.50858504727</v>
      </c>
      <c r="K12" s="86">
        <v>71.990576043283568</v>
      </c>
      <c r="L12" s="98"/>
    </row>
    <row r="13" spans="1:13" x14ac:dyDescent="0.25">
      <c r="B13" t="s">
        <v>182</v>
      </c>
      <c r="C13" s="83">
        <v>42736</v>
      </c>
      <c r="D13" s="83">
        <v>43100</v>
      </c>
      <c r="E13" t="s">
        <v>164</v>
      </c>
      <c r="F13" s="87">
        <v>120740.69752294681</v>
      </c>
      <c r="G13" s="87">
        <v>8792.1397362094503</v>
      </c>
      <c r="H13" s="87">
        <v>20262.5060008894</v>
      </c>
      <c r="I13" s="87">
        <v>149795.34326004566</v>
      </c>
      <c r="J13" s="87">
        <v>158971.63627178961</v>
      </c>
      <c r="K13" s="86">
        <v>69.962682674558806</v>
      </c>
      <c r="L13" s="98"/>
    </row>
    <row r="14" spans="1:13" x14ac:dyDescent="0.25">
      <c r="B14" t="s">
        <v>183</v>
      </c>
      <c r="C14" s="83">
        <v>42736</v>
      </c>
      <c r="D14" s="83">
        <v>43100</v>
      </c>
      <c r="E14" t="s">
        <v>164</v>
      </c>
      <c r="F14" s="87">
        <v>117245.42176665441</v>
      </c>
      <c r="G14" s="87">
        <v>8537.6194833339232</v>
      </c>
      <c r="H14" s="87">
        <v>19675.934551166094</v>
      </c>
      <c r="I14" s="87">
        <v>145458.97580115445</v>
      </c>
      <c r="J14" s="87">
        <v>154369.62785542017</v>
      </c>
      <c r="K14" s="86">
        <v>67.937372274713724</v>
      </c>
      <c r="L14" s="98"/>
    </row>
    <row r="15" spans="1:13" x14ac:dyDescent="0.25">
      <c r="B15" t="s">
        <v>184</v>
      </c>
      <c r="C15" s="83">
        <v>42736</v>
      </c>
      <c r="D15" s="83">
        <v>43100</v>
      </c>
      <c r="E15" t="s">
        <v>164</v>
      </c>
      <c r="F15" s="87">
        <v>110816.09903889761</v>
      </c>
      <c r="G15" s="87">
        <v>8069.4467380101505</v>
      </c>
      <c r="H15" s="87">
        <v>18596.976146705427</v>
      </c>
      <c r="I15" s="87">
        <v>137482.52192361318</v>
      </c>
      <c r="J15" s="87">
        <v>145904.54545056942</v>
      </c>
      <c r="K15" s="86">
        <v>64.21157444674796</v>
      </c>
      <c r="L15" s="98"/>
    </row>
    <row r="16" spans="1:13" x14ac:dyDescent="0.25">
      <c r="B16" t="s">
        <v>185</v>
      </c>
      <c r="C16" s="83">
        <v>42736</v>
      </c>
      <c r="D16" s="83">
        <v>43100</v>
      </c>
      <c r="E16" t="s">
        <v>164</v>
      </c>
      <c r="F16" s="87">
        <v>110245.83212143871</v>
      </c>
      <c r="G16" s="87">
        <v>8027.9208355754472</v>
      </c>
      <c r="H16" s="87">
        <v>18501.274887112126</v>
      </c>
      <c r="I16" s="87">
        <v>136775.02784412628</v>
      </c>
      <c r="J16" s="87">
        <v>145153.71108535561</v>
      </c>
      <c r="K16" s="86">
        <v>63.881511357718551</v>
      </c>
      <c r="L16" s="98"/>
    </row>
    <row r="17" spans="1:12" x14ac:dyDescent="0.25">
      <c r="B17" t="s">
        <v>186</v>
      </c>
      <c r="C17" s="83">
        <v>42736</v>
      </c>
      <c r="D17" s="83">
        <v>43100</v>
      </c>
      <c r="E17" t="s">
        <v>164</v>
      </c>
      <c r="F17" s="87">
        <v>106742.28685457763</v>
      </c>
      <c r="G17" s="87">
        <v>7772.7984104915286</v>
      </c>
      <c r="H17" s="87">
        <v>17913.315661676403</v>
      </c>
      <c r="I17" s="87">
        <v>132428.40092674555</v>
      </c>
      <c r="J17" s="87">
        <v>140540.81472769345</v>
      </c>
      <c r="K17" s="86">
        <v>61.851406455995729</v>
      </c>
      <c r="L17" s="98"/>
    </row>
    <row r="18" spans="1:12" x14ac:dyDescent="0.25">
      <c r="B18" t="s">
        <v>187</v>
      </c>
      <c r="C18" s="83">
        <v>42736</v>
      </c>
      <c r="D18" s="83">
        <v>43100</v>
      </c>
      <c r="E18" t="s">
        <v>164</v>
      </c>
      <c r="F18" s="87">
        <v>103247.38176251494</v>
      </c>
      <c r="G18" s="87">
        <v>7518.3051487778039</v>
      </c>
      <c r="H18" s="87">
        <v>17326.806416216725</v>
      </c>
      <c r="I18" s="87">
        <v>128092.49332750947</v>
      </c>
      <c r="J18" s="87">
        <v>135939.2943414606</v>
      </c>
      <c r="K18" s="86">
        <v>59.826310591795121</v>
      </c>
      <c r="L18" s="98"/>
    </row>
    <row r="19" spans="1:12" x14ac:dyDescent="0.25">
      <c r="B19" t="s">
        <v>188</v>
      </c>
      <c r="C19" s="83">
        <v>42736</v>
      </c>
      <c r="D19" s="83">
        <v>43100</v>
      </c>
      <c r="E19" t="s">
        <v>164</v>
      </c>
      <c r="F19" s="87">
        <v>99744.049121371354</v>
      </c>
      <c r="G19" s="87">
        <v>7263.1982067502049</v>
      </c>
      <c r="H19" s="87">
        <v>16738.882873280483</v>
      </c>
      <c r="I19" s="87">
        <v>123746.13020140203</v>
      </c>
      <c r="J19" s="87">
        <v>131326.67793462626</v>
      </c>
      <c r="K19" s="86">
        <v>57.796329502032869</v>
      </c>
      <c r="L19" s="98"/>
    </row>
    <row r="20" spans="1:12" x14ac:dyDescent="0.25">
      <c r="B20" t="s">
        <v>189</v>
      </c>
      <c r="C20" s="83">
        <v>42736</v>
      </c>
      <c r="D20" s="83">
        <v>43100</v>
      </c>
      <c r="E20" t="s">
        <v>164</v>
      </c>
      <c r="F20" s="87">
        <v>96246.254873174999</v>
      </c>
      <c r="G20" s="87">
        <v>7008.4945614212766</v>
      </c>
      <c r="H20" s="87">
        <v>16151.888774372905</v>
      </c>
      <c r="I20" s="87">
        <v>119406.63820896918</v>
      </c>
      <c r="J20" s="87">
        <v>126721.35357933048</v>
      </c>
      <c r="K20" s="86">
        <v>55.769558443945435</v>
      </c>
      <c r="L20" s="98"/>
    </row>
    <row r="21" spans="1:12" x14ac:dyDescent="0.25">
      <c r="B21" t="s">
        <v>190</v>
      </c>
      <c r="C21" s="83">
        <v>42736</v>
      </c>
      <c r="D21" s="83">
        <v>43100</v>
      </c>
      <c r="E21" t="s">
        <v>164</v>
      </c>
      <c r="F21" s="87">
        <v>88647.866371433818</v>
      </c>
      <c r="G21" s="87">
        <v>6455.1923621804708</v>
      </c>
      <c r="H21" s="87">
        <v>14876.739667466683</v>
      </c>
      <c r="I21" s="87">
        <v>109979.79840108097</v>
      </c>
      <c r="J21" s="87">
        <v>116717.03624530994</v>
      </c>
      <c r="K21" s="86">
        <v>51.366354892682679</v>
      </c>
      <c r="L21" s="98"/>
    </row>
    <row r="22" spans="1:12" x14ac:dyDescent="0.25">
      <c r="B22" t="s">
        <v>191</v>
      </c>
      <c r="C22" s="83">
        <v>42736</v>
      </c>
      <c r="D22" s="83">
        <v>43100</v>
      </c>
      <c r="E22" t="s">
        <v>164</v>
      </c>
      <c r="F22" s="87">
        <v>88154.882945876248</v>
      </c>
      <c r="G22" s="87">
        <v>6419.2941169817987</v>
      </c>
      <c r="H22" s="87">
        <v>14794.007996840044</v>
      </c>
      <c r="I22" s="87">
        <v>109368.18505969809</v>
      </c>
      <c r="J22" s="87">
        <v>116067.95616358469</v>
      </c>
      <c r="K22" s="86">
        <v>51.08102248552693</v>
      </c>
      <c r="L22" s="98"/>
    </row>
    <row r="23" spans="1:12" x14ac:dyDescent="0.25">
      <c r="B23" t="s">
        <v>192</v>
      </c>
      <c r="C23" s="83">
        <v>42736</v>
      </c>
      <c r="D23" s="83">
        <v>43100</v>
      </c>
      <c r="E23" t="s">
        <v>164</v>
      </c>
      <c r="F23" s="87">
        <v>85124.010745237116</v>
      </c>
      <c r="G23" s="87">
        <v>6198.5909700122565</v>
      </c>
      <c r="H23" s="87">
        <v>14285.371990809785</v>
      </c>
      <c r="I23" s="87">
        <v>105607.97370605916</v>
      </c>
      <c r="J23" s="87">
        <v>112077.39852269719</v>
      </c>
      <c r="K23" s="86">
        <v>49.324806099033779</v>
      </c>
      <c r="L23" s="98"/>
    </row>
    <row r="24" spans="1:12" x14ac:dyDescent="0.25">
      <c r="B24" t="s">
        <v>193</v>
      </c>
      <c r="C24" s="83">
        <v>42736</v>
      </c>
      <c r="D24" s="83">
        <v>43100</v>
      </c>
      <c r="E24" t="s">
        <v>164</v>
      </c>
      <c r="F24" s="87">
        <v>82091.230636243985</v>
      </c>
      <c r="G24" s="87">
        <v>5977.7488922828597</v>
      </c>
      <c r="H24" s="87">
        <v>13776.41580272604</v>
      </c>
      <c r="I24" s="87">
        <v>101845.39533125289</v>
      </c>
      <c r="J24" s="87">
        <v>108084.32885960743</v>
      </c>
      <c r="K24" s="86">
        <v>47.567483946041598</v>
      </c>
      <c r="L24" s="98"/>
    </row>
    <row r="25" spans="1:12" x14ac:dyDescent="0.25">
      <c r="B25" t="s">
        <v>194</v>
      </c>
      <c r="C25" s="83">
        <v>42736</v>
      </c>
      <c r="D25" s="83">
        <v>43100</v>
      </c>
      <c r="E25" t="s">
        <v>164</v>
      </c>
      <c r="F25" s="87">
        <v>79058.45052725081</v>
      </c>
      <c r="G25" s="87">
        <v>5756.9068145534611</v>
      </c>
      <c r="H25" s="87">
        <v>13267.459614642288</v>
      </c>
      <c r="I25" s="87">
        <v>98082.816956446564</v>
      </c>
      <c r="J25" s="87">
        <v>104091.25919651761</v>
      </c>
      <c r="K25" s="86">
        <v>45.810161793049424</v>
      </c>
      <c r="L25" s="98"/>
    </row>
    <row r="26" spans="1:12" x14ac:dyDescent="0.25">
      <c r="B26" t="s">
        <v>195</v>
      </c>
      <c r="C26" s="83">
        <v>42736</v>
      </c>
      <c r="D26" s="83">
        <v>43100</v>
      </c>
      <c r="E26" t="s">
        <v>164</v>
      </c>
      <c r="F26" s="87">
        <v>75911.320503382085</v>
      </c>
      <c r="G26" s="87">
        <v>5527.7379634076797</v>
      </c>
      <c r="H26" s="87">
        <v>12739.313411228981</v>
      </c>
      <c r="I26" s="87">
        <v>94178.371878018748</v>
      </c>
      <c r="J26" s="87">
        <v>99947.632236275778</v>
      </c>
      <c r="K26" s="86">
        <v>43.986655393735774</v>
      </c>
      <c r="L26" s="98"/>
    </row>
    <row r="27" spans="1:12" x14ac:dyDescent="0.25">
      <c r="B27" t="s">
        <v>196</v>
      </c>
      <c r="C27" s="83">
        <v>42736</v>
      </c>
      <c r="D27" s="83">
        <v>43100</v>
      </c>
      <c r="E27" t="s">
        <v>164</v>
      </c>
      <c r="F27" s="87">
        <v>72176.342080756498</v>
      </c>
      <c r="G27" s="87">
        <v>5255.7629551697955</v>
      </c>
      <c r="H27" s="87">
        <v>12112.515452841662</v>
      </c>
      <c r="I27" s="87">
        <v>89544.620488767949</v>
      </c>
      <c r="J27" s="87">
        <v>95030.022486905451</v>
      </c>
      <c r="K27" s="86">
        <v>41.822449100764274</v>
      </c>
      <c r="L27" s="98"/>
    </row>
    <row r="28" spans="1:12" x14ac:dyDescent="0.25">
      <c r="B28" t="s">
        <v>197</v>
      </c>
      <c r="C28" s="83">
        <v>42736</v>
      </c>
      <c r="D28" s="83">
        <v>43100</v>
      </c>
      <c r="E28" t="s">
        <v>164</v>
      </c>
      <c r="F28" s="87">
        <v>68445.364806953789</v>
      </c>
      <c r="G28" s="87">
        <v>4984.0793040325234</v>
      </c>
      <c r="H28" s="87">
        <v>11486.388960693135</v>
      </c>
      <c r="I28" s="87">
        <v>84915.833071679444</v>
      </c>
      <c r="J28" s="87">
        <v>90117.680797007939</v>
      </c>
      <c r="K28" s="86">
        <v>39.660561608613037</v>
      </c>
      <c r="L28" s="98"/>
    </row>
    <row r="29" spans="1:12" x14ac:dyDescent="0.25">
      <c r="C29" s="83"/>
      <c r="D29" s="83"/>
    </row>
    <row r="30" spans="1:12" hidden="1" x14ac:dyDescent="0.25">
      <c r="A30" t="s">
        <v>198</v>
      </c>
      <c r="B30" t="s">
        <v>197</v>
      </c>
      <c r="C30" s="83">
        <v>42370</v>
      </c>
      <c r="D30" s="83">
        <v>42735</v>
      </c>
      <c r="E30" t="s">
        <v>162</v>
      </c>
      <c r="F30" s="81">
        <v>35.23470443592619</v>
      </c>
      <c r="G30" s="81">
        <v>2.4235598404089309</v>
      </c>
      <c r="H30" s="81">
        <v>3.3043404949782698</v>
      </c>
      <c r="I30" s="81">
        <v>40.962604771313387</v>
      </c>
      <c r="J30" s="81"/>
      <c r="K30" s="81"/>
      <c r="L30" s="81"/>
    </row>
    <row r="31" spans="1:12" hidden="1" x14ac:dyDescent="0.25">
      <c r="B31" t="s">
        <v>196</v>
      </c>
      <c r="C31" s="83">
        <v>42370</v>
      </c>
      <c r="D31" s="83">
        <v>42735</v>
      </c>
      <c r="E31" t="s">
        <v>162</v>
      </c>
      <c r="F31" s="81">
        <v>37.155339538408761</v>
      </c>
      <c r="G31" s="81">
        <v>2.5556674932749024</v>
      </c>
      <c r="H31" s="81">
        <v>3.4844592854381355</v>
      </c>
      <c r="I31" s="81">
        <v>43.195466317121799</v>
      </c>
      <c r="J31" s="81"/>
      <c r="K31" s="81"/>
      <c r="L31" s="81"/>
    </row>
    <row r="32" spans="1:12" hidden="1" x14ac:dyDescent="0.25">
      <c r="B32" t="s">
        <v>195</v>
      </c>
      <c r="C32" s="83">
        <v>42370</v>
      </c>
      <c r="D32" s="83">
        <v>42735</v>
      </c>
      <c r="E32" t="s">
        <v>162</v>
      </c>
      <c r="F32" s="81">
        <v>39.078034678829106</v>
      </c>
      <c r="G32" s="81">
        <v>2.6879168423831339</v>
      </c>
      <c r="H32" s="81">
        <v>3.6647712680047029</v>
      </c>
      <c r="I32" s="81">
        <v>45.430722789216937</v>
      </c>
      <c r="J32" s="81"/>
      <c r="K32" s="81"/>
      <c r="L32" s="81"/>
    </row>
    <row r="33" spans="2:12" hidden="1" x14ac:dyDescent="0.25">
      <c r="B33" t="s">
        <v>194</v>
      </c>
      <c r="C33" s="83">
        <v>42370</v>
      </c>
      <c r="D33" s="83">
        <v>42735</v>
      </c>
      <c r="E33" t="s">
        <v>162</v>
      </c>
      <c r="F33" s="81">
        <v>40.698049787311156</v>
      </c>
      <c r="G33" s="81">
        <v>2.7993468549411382</v>
      </c>
      <c r="H33" s="81">
        <v>3.8166976602118057</v>
      </c>
      <c r="I33" s="81">
        <v>47.314094302464099</v>
      </c>
      <c r="J33" s="81"/>
      <c r="K33" s="81"/>
      <c r="L33" s="81"/>
    </row>
    <row r="34" spans="2:12" hidden="1" x14ac:dyDescent="0.25">
      <c r="B34" t="s">
        <v>193</v>
      </c>
      <c r="C34" s="83">
        <v>42370</v>
      </c>
      <c r="D34" s="83">
        <v>42735</v>
      </c>
      <c r="E34" t="s">
        <v>162</v>
      </c>
      <c r="F34" s="81">
        <v>42.259266374973841</v>
      </c>
      <c r="G34" s="81">
        <v>2.9067325102095158</v>
      </c>
      <c r="H34" s="81">
        <v>3.9631098772186721</v>
      </c>
      <c r="I34" s="81">
        <v>49.129108762402034</v>
      </c>
      <c r="J34" s="81"/>
      <c r="K34" s="81"/>
      <c r="L34" s="81"/>
    </row>
    <row r="35" spans="2:12" hidden="1" x14ac:dyDescent="0.25">
      <c r="B35" t="s">
        <v>192</v>
      </c>
      <c r="C35" s="83">
        <v>42370</v>
      </c>
      <c r="D35" s="83">
        <v>42735</v>
      </c>
      <c r="E35" t="s">
        <v>162</v>
      </c>
      <c r="F35" s="81">
        <v>43.82048296263654</v>
      </c>
      <c r="G35" s="81">
        <v>3.0141181654778944</v>
      </c>
      <c r="H35" s="81">
        <v>4.1095220942255386</v>
      </c>
      <c r="I35" s="81">
        <v>50.944123222339968</v>
      </c>
      <c r="J35" s="81"/>
      <c r="K35" s="81"/>
      <c r="L35" s="81"/>
    </row>
    <row r="36" spans="2:12" hidden="1" x14ac:dyDescent="0.25">
      <c r="B36" t="s">
        <v>191</v>
      </c>
      <c r="C36" s="83">
        <v>42370</v>
      </c>
      <c r="D36" s="83">
        <v>42735</v>
      </c>
      <c r="E36" t="s">
        <v>162</v>
      </c>
      <c r="F36" s="81">
        <v>45.380717180050603</v>
      </c>
      <c r="G36" s="81">
        <v>3.121436250062168</v>
      </c>
      <c r="H36" s="81">
        <v>4.255842183716493</v>
      </c>
      <c r="I36" s="81">
        <v>52.757995613829266</v>
      </c>
      <c r="J36" s="81"/>
      <c r="K36" s="81"/>
      <c r="L36" s="81"/>
    </row>
    <row r="37" spans="2:12" hidden="1" x14ac:dyDescent="0.25">
      <c r="B37" t="s">
        <v>190</v>
      </c>
      <c r="C37" s="83">
        <v>42370</v>
      </c>
      <c r="D37" s="83">
        <v>42735</v>
      </c>
      <c r="E37" t="s">
        <v>162</v>
      </c>
      <c r="F37" s="81">
        <v>45.634208371913623</v>
      </c>
      <c r="G37" s="81">
        <v>3.1388722150385102</v>
      </c>
      <c r="H37" s="81">
        <v>4.2796148028941694</v>
      </c>
      <c r="I37" s="81">
        <v>53.052695389846299</v>
      </c>
      <c r="J37" s="81"/>
      <c r="K37" s="81"/>
      <c r="L37" s="81"/>
    </row>
    <row r="38" spans="2:12" hidden="1" x14ac:dyDescent="0.25">
      <c r="B38" t="s">
        <v>189</v>
      </c>
      <c r="C38" s="83">
        <v>42370</v>
      </c>
      <c r="D38" s="83">
        <v>42735</v>
      </c>
      <c r="E38" t="s">
        <v>162</v>
      </c>
      <c r="F38" s="81">
        <v>49.546043439480364</v>
      </c>
      <c r="G38" s="81">
        <v>3.407941206075412</v>
      </c>
      <c r="H38" s="81">
        <v>4.6464700165356705</v>
      </c>
      <c r="I38" s="81">
        <v>57.600454662091444</v>
      </c>
      <c r="J38" s="81"/>
      <c r="K38" s="81"/>
      <c r="L38" s="81"/>
    </row>
    <row r="39" spans="2:12" hidden="1" x14ac:dyDescent="0.25">
      <c r="B39" t="s">
        <v>188</v>
      </c>
      <c r="C39" s="83">
        <v>42370</v>
      </c>
      <c r="D39" s="83">
        <v>42735</v>
      </c>
      <c r="E39" t="s">
        <v>162</v>
      </c>
      <c r="F39" s="81">
        <v>51.346640211047301</v>
      </c>
      <c r="G39" s="81">
        <v>3.5317922243882016</v>
      </c>
      <c r="H39" s="81">
        <v>4.8153315104141106</v>
      </c>
      <c r="I39" s="81">
        <v>59.693763945849604</v>
      </c>
      <c r="J39" s="81"/>
      <c r="K39" s="81"/>
      <c r="L39" s="81"/>
    </row>
    <row r="40" spans="2:12" hidden="1" x14ac:dyDescent="0.25">
      <c r="B40" t="s">
        <v>187</v>
      </c>
      <c r="C40" s="83">
        <v>42370</v>
      </c>
      <c r="D40" s="83">
        <v>42735</v>
      </c>
      <c r="E40" t="s">
        <v>162</v>
      </c>
      <c r="F40" s="81">
        <v>53.150088795919565</v>
      </c>
      <c r="G40" s="81">
        <v>3.6558393998792549</v>
      </c>
      <c r="H40" s="81">
        <v>4.9844604497654075</v>
      </c>
      <c r="I40" s="81">
        <v>61.790388645564228</v>
      </c>
      <c r="J40" s="81"/>
      <c r="K40" s="81"/>
      <c r="L40" s="81"/>
    </row>
    <row r="41" spans="2:12" hidden="1" x14ac:dyDescent="0.25">
      <c r="B41" t="s">
        <v>186</v>
      </c>
      <c r="C41" s="83">
        <v>42370</v>
      </c>
      <c r="D41" s="83">
        <v>42735</v>
      </c>
      <c r="E41" t="s">
        <v>162</v>
      </c>
      <c r="F41" s="81">
        <v>54.949197314192013</v>
      </c>
      <c r="G41" s="81">
        <v>3.7795880511940911</v>
      </c>
      <c r="H41" s="81">
        <v>5.153182373986418</v>
      </c>
      <c r="I41" s="81">
        <v>63.88196773937252</v>
      </c>
      <c r="J41" s="81"/>
      <c r="K41" s="81"/>
      <c r="L41" s="81"/>
    </row>
    <row r="42" spans="2:12" hidden="1" x14ac:dyDescent="0.25">
      <c r="B42" t="s">
        <v>185</v>
      </c>
      <c r="C42" s="83">
        <v>42370</v>
      </c>
      <c r="D42" s="83">
        <v>42735</v>
      </c>
      <c r="E42" t="s">
        <v>162</v>
      </c>
      <c r="F42" s="81">
        <v>56.7527558944264</v>
      </c>
      <c r="G42" s="81">
        <v>3.903642792530992</v>
      </c>
      <c r="H42" s="81">
        <v>5.322321628796157</v>
      </c>
      <c r="I42" s="81">
        <v>65.978720315753549</v>
      </c>
      <c r="J42" s="81"/>
      <c r="K42" s="81"/>
      <c r="L42" s="81"/>
    </row>
    <row r="43" spans="2:12" hidden="1" x14ac:dyDescent="0.25">
      <c r="B43" t="s">
        <v>184</v>
      </c>
      <c r="C43" s="83">
        <v>42370</v>
      </c>
      <c r="D43" s="83">
        <v>42735</v>
      </c>
      <c r="E43" t="s">
        <v>162</v>
      </c>
      <c r="F43" s="81">
        <v>57.045986118998776</v>
      </c>
      <c r="G43" s="81">
        <v>3.9238121399867096</v>
      </c>
      <c r="H43" s="81">
        <v>5.3498210081983046</v>
      </c>
      <c r="I43" s="81">
        <v>66.319619267183796</v>
      </c>
      <c r="J43" s="81"/>
      <c r="K43" s="81"/>
      <c r="L43" s="81"/>
    </row>
    <row r="44" spans="2:12" hidden="1" x14ac:dyDescent="0.25">
      <c r="B44" t="s">
        <v>183</v>
      </c>
      <c r="C44" s="83">
        <v>42370</v>
      </c>
      <c r="D44" s="83">
        <v>42735</v>
      </c>
      <c r="E44" t="s">
        <v>162</v>
      </c>
      <c r="F44" s="81">
        <v>60.356009475498084</v>
      </c>
      <c r="G44" s="81">
        <v>4.1514865253988331</v>
      </c>
      <c r="H44" s="81">
        <v>5.6602378086597414</v>
      </c>
      <c r="I44" s="81">
        <v>70.167733809556665</v>
      </c>
      <c r="J44" s="81"/>
      <c r="K44" s="81"/>
      <c r="L44" s="81"/>
    </row>
    <row r="45" spans="2:12" hidden="1" x14ac:dyDescent="0.25">
      <c r="B45" t="s">
        <v>182</v>
      </c>
      <c r="C45" s="83">
        <v>42370</v>
      </c>
      <c r="D45" s="83">
        <v>42735</v>
      </c>
      <c r="E45" t="s">
        <v>162</v>
      </c>
      <c r="F45" s="81">
        <v>62.155308588651643</v>
      </c>
      <c r="G45" s="81">
        <v>4.275248286461772</v>
      </c>
      <c r="H45" s="81">
        <v>5.8289776070305086</v>
      </c>
      <c r="I45" s="81">
        <v>72.25953448214392</v>
      </c>
      <c r="J45" s="81"/>
      <c r="K45" s="81"/>
      <c r="L45" s="81"/>
    </row>
    <row r="46" spans="2:12" hidden="1" x14ac:dyDescent="0.25">
      <c r="B46" t="s">
        <v>181</v>
      </c>
      <c r="C46" s="83">
        <v>42370</v>
      </c>
      <c r="D46" s="83">
        <v>42735</v>
      </c>
      <c r="E46" t="s">
        <v>162</v>
      </c>
      <c r="F46" s="81">
        <v>63.956902428388752</v>
      </c>
      <c r="G46" s="81">
        <v>4.3991678864304609</v>
      </c>
      <c r="H46" s="81">
        <v>5.9979326068084218</v>
      </c>
      <c r="I46" s="81">
        <v>74.354002921627639</v>
      </c>
      <c r="J46" s="81"/>
      <c r="K46" s="81"/>
      <c r="L46" s="81"/>
    </row>
    <row r="47" spans="2:12" hidden="1" x14ac:dyDescent="0.25">
      <c r="B47" t="s">
        <v>180</v>
      </c>
      <c r="C47" s="83">
        <v>42370</v>
      </c>
      <c r="D47" s="83">
        <v>42735</v>
      </c>
      <c r="E47" t="s">
        <v>162</v>
      </c>
      <c r="F47" s="81">
        <v>65.756707424588186</v>
      </c>
      <c r="G47" s="81">
        <v>4.5229644438072487</v>
      </c>
      <c r="H47" s="81">
        <v>6.1667198473207083</v>
      </c>
      <c r="I47" s="81">
        <v>76.446391715716132</v>
      </c>
      <c r="J47" s="81"/>
      <c r="K47" s="81"/>
      <c r="L47" s="81"/>
    </row>
    <row r="48" spans="2:12" hidden="1" x14ac:dyDescent="0.25">
      <c r="B48" t="s">
        <v>179</v>
      </c>
      <c r="C48" s="83">
        <v>42370</v>
      </c>
      <c r="D48" s="83">
        <v>42735</v>
      </c>
      <c r="E48" t="s">
        <v>162</v>
      </c>
      <c r="F48" s="81">
        <v>67.559474229455049</v>
      </c>
      <c r="G48" s="81">
        <v>4.6469647242081482</v>
      </c>
      <c r="H48" s="81">
        <v>6.3357848487642929</v>
      </c>
      <c r="I48" s="81">
        <v>78.542223802427486</v>
      </c>
      <c r="J48" s="81"/>
      <c r="K48" s="81"/>
      <c r="L48" s="81"/>
    </row>
    <row r="49" spans="1:14" hidden="1" x14ac:dyDescent="0.25">
      <c r="B49" t="s">
        <v>178</v>
      </c>
      <c r="C49" s="83">
        <v>42370</v>
      </c>
      <c r="D49" s="83">
        <v>42735</v>
      </c>
      <c r="E49" t="s">
        <v>162</v>
      </c>
      <c r="F49" s="81">
        <v>67.852513859146342</v>
      </c>
      <c r="G49" s="81">
        <v>4.6671209619157628</v>
      </c>
      <c r="H49" s="81">
        <v>6.3632663540166847</v>
      </c>
      <c r="I49" s="81">
        <v>78.882901175078786</v>
      </c>
      <c r="J49" s="81"/>
      <c r="K49" s="81"/>
      <c r="L49" s="81"/>
    </row>
    <row r="50" spans="1:14" hidden="1" x14ac:dyDescent="0.25">
      <c r="B50" t="s">
        <v>177</v>
      </c>
      <c r="C50" s="83">
        <v>42370</v>
      </c>
      <c r="D50" s="83">
        <v>42735</v>
      </c>
      <c r="E50" t="s">
        <v>162</v>
      </c>
      <c r="F50" s="81">
        <v>72.865630007608345</v>
      </c>
      <c r="G50" s="81">
        <v>5.0119397185144425</v>
      </c>
      <c r="H50" s="81">
        <v>6.8334006423719575</v>
      </c>
      <c r="I50" s="81">
        <v>84.710970368494742</v>
      </c>
      <c r="J50" s="81"/>
      <c r="K50" s="81"/>
      <c r="L50" s="81"/>
    </row>
    <row r="51" spans="1:14" hidden="1" x14ac:dyDescent="0.25">
      <c r="B51" t="s">
        <v>176</v>
      </c>
      <c r="C51" s="83">
        <v>42370</v>
      </c>
      <c r="D51" s="83">
        <v>42735</v>
      </c>
      <c r="E51" t="s">
        <v>162</v>
      </c>
      <c r="F51" s="81">
        <v>75.26619844302914</v>
      </c>
      <c r="G51" s="81">
        <v>5.1770587779014443</v>
      </c>
      <c r="H51" s="81">
        <v>7.0585279882406402</v>
      </c>
      <c r="I51" s="81">
        <v>87.501785209171217</v>
      </c>
      <c r="J51" s="81"/>
      <c r="K51" s="81"/>
      <c r="L51" s="81"/>
    </row>
    <row r="52" spans="1:14" hidden="1" x14ac:dyDescent="0.25">
      <c r="B52" t="s">
        <v>175</v>
      </c>
      <c r="C52" s="83">
        <v>42370</v>
      </c>
      <c r="D52" s="83">
        <v>42735</v>
      </c>
      <c r="E52" t="s">
        <v>162</v>
      </c>
      <c r="F52" s="81">
        <v>77.668636321506639</v>
      </c>
      <c r="G52" s="81">
        <v>5.3423064237826052</v>
      </c>
      <c r="H52" s="81">
        <v>7.2838306520662703</v>
      </c>
      <c r="I52" s="81">
        <v>90.294773397355527</v>
      </c>
      <c r="J52" s="81"/>
      <c r="K52" s="81"/>
      <c r="L52" s="81"/>
    </row>
    <row r="53" spans="1:14" hidden="1" x14ac:dyDescent="0.25">
      <c r="B53" t="s">
        <v>174</v>
      </c>
      <c r="C53" s="83">
        <v>42370</v>
      </c>
      <c r="D53" s="83">
        <v>42735</v>
      </c>
      <c r="E53" t="s">
        <v>162</v>
      </c>
      <c r="F53" s="81">
        <v>78.059069935440036</v>
      </c>
      <c r="G53" s="81">
        <v>5.3691617427706051</v>
      </c>
      <c r="H53" s="81">
        <v>7.3204458478448204</v>
      </c>
      <c r="I53" s="81">
        <v>90.748677526055445</v>
      </c>
      <c r="J53" s="81"/>
      <c r="K53" s="81"/>
      <c r="L53" s="81"/>
    </row>
    <row r="54" spans="1:14" hidden="1" x14ac:dyDescent="0.25">
      <c r="B54" t="s">
        <v>173</v>
      </c>
      <c r="C54" s="83">
        <v>42370</v>
      </c>
      <c r="D54" s="83">
        <v>42735</v>
      </c>
      <c r="E54" t="s">
        <v>162</v>
      </c>
      <c r="F54" s="81">
        <v>91.270762674086697</v>
      </c>
      <c r="G54" s="81">
        <v>6.2779057909414373</v>
      </c>
      <c r="H54" s="81">
        <v>8.5594496091196799</v>
      </c>
      <c r="I54" s="81">
        <v>106.10811807414781</v>
      </c>
      <c r="J54" s="81"/>
      <c r="K54" s="81"/>
      <c r="L54" s="81"/>
    </row>
    <row r="55" spans="1:14" hidden="1" x14ac:dyDescent="0.25">
      <c r="C55" s="83"/>
      <c r="D55" s="83"/>
      <c r="F55" s="81"/>
      <c r="G55" s="81"/>
      <c r="H55" s="81"/>
      <c r="I55" s="81"/>
      <c r="J55" s="81"/>
      <c r="K55" s="81"/>
      <c r="L55" s="81"/>
    </row>
    <row r="56" spans="1:14" x14ac:dyDescent="0.25">
      <c r="A56" s="97" t="s">
        <v>172</v>
      </c>
      <c r="E56" s="509" t="s">
        <v>60</v>
      </c>
      <c r="F56" s="510"/>
      <c r="G56" s="510"/>
      <c r="H56" s="510"/>
      <c r="I56" s="511"/>
      <c r="J56" s="96" t="s">
        <v>61</v>
      </c>
      <c r="K56" s="95" t="s">
        <v>60</v>
      </c>
      <c r="L56" s="95" t="s">
        <v>59</v>
      </c>
    </row>
    <row r="57" spans="1:14" ht="60" x14ac:dyDescent="0.25">
      <c r="E57" s="94" t="s">
        <v>171</v>
      </c>
      <c r="F57" s="93" t="s">
        <v>53</v>
      </c>
      <c r="G57" s="93" t="s">
        <v>170</v>
      </c>
      <c r="H57" s="55" t="s">
        <v>169</v>
      </c>
      <c r="I57" s="92" t="s">
        <v>168</v>
      </c>
      <c r="J57" s="91" t="s">
        <v>167</v>
      </c>
      <c r="K57" s="90" t="s">
        <v>166</v>
      </c>
      <c r="L57" s="90" t="s">
        <v>165</v>
      </c>
    </row>
    <row r="58" spans="1:14" x14ac:dyDescent="0.25">
      <c r="B58">
        <v>4.0999999999999996</v>
      </c>
      <c r="C58" s="83">
        <v>42736</v>
      </c>
      <c r="D58" s="83">
        <v>43100</v>
      </c>
      <c r="E58" s="82" t="s">
        <v>164</v>
      </c>
      <c r="F58" s="87">
        <v>60588.255552495531</v>
      </c>
      <c r="G58" s="87">
        <v>4411.9374835437638</v>
      </c>
      <c r="H58" s="87">
        <v>10167.821761030838</v>
      </c>
      <c r="I58" s="87">
        <v>75168.014797070136</v>
      </c>
      <c r="J58" s="87">
        <v>79772.722219059797</v>
      </c>
      <c r="K58" s="86">
        <v>37.615531491391039</v>
      </c>
      <c r="L58" s="86">
        <v>47.67985070477404</v>
      </c>
      <c r="M58" s="170"/>
      <c r="N58" s="170"/>
    </row>
    <row r="59" spans="1:14" x14ac:dyDescent="0.25">
      <c r="B59">
        <v>4.2</v>
      </c>
      <c r="C59" s="83">
        <v>42736</v>
      </c>
      <c r="D59" s="83">
        <v>43100</v>
      </c>
      <c r="E59" s="82" t="s">
        <v>164</v>
      </c>
      <c r="F59" s="87">
        <v>62448.944763676584</v>
      </c>
      <c r="G59" s="87">
        <v>4547.4298227962518</v>
      </c>
      <c r="H59" s="87">
        <v>10480.07957534553</v>
      </c>
      <c r="I59" s="87">
        <v>77476.454161818372</v>
      </c>
      <c r="J59" s="87">
        <v>82222.57396385778</v>
      </c>
      <c r="K59" s="86">
        <v>38.770851214352106</v>
      </c>
      <c r="L59" s="86">
        <v>49.144042092655852</v>
      </c>
    </row>
    <row r="60" spans="1:14" hidden="1" x14ac:dyDescent="0.25">
      <c r="B60">
        <v>4.3</v>
      </c>
      <c r="C60" s="83">
        <v>42736</v>
      </c>
      <c r="D60" s="83">
        <v>43100</v>
      </c>
      <c r="E60" s="82" t="s">
        <v>164</v>
      </c>
      <c r="F60" s="87">
        <v>64220.105561311655</v>
      </c>
      <c r="G60" s="87">
        <v>4676.4028496842584</v>
      </c>
      <c r="H60" s="87">
        <v>10777.312878008866</v>
      </c>
      <c r="I60" s="87">
        <v>79673.821289004787</v>
      </c>
      <c r="J60" s="87">
        <v>84554.549311664465</v>
      </c>
      <c r="K60" s="86">
        <v>39.870297426421665</v>
      </c>
      <c r="L60" s="86">
        <v>50.537759702199324</v>
      </c>
    </row>
    <row r="61" spans="1:14" hidden="1" x14ac:dyDescent="0.25">
      <c r="B61">
        <v>4.4000000000000004</v>
      </c>
      <c r="C61" s="83">
        <v>42736</v>
      </c>
      <c r="D61" s="83">
        <v>43100</v>
      </c>
      <c r="E61" s="82" t="s">
        <v>164</v>
      </c>
      <c r="F61" s="87">
        <v>64865.265028371483</v>
      </c>
      <c r="G61" s="87">
        <v>4723.382304854711</v>
      </c>
      <c r="H61" s="87">
        <v>10885.582482550004</v>
      </c>
      <c r="I61" s="87">
        <v>80474.229815776198</v>
      </c>
      <c r="J61" s="87">
        <v>85403.989957932426</v>
      </c>
      <c r="K61" s="86">
        <v>40.27039421780465</v>
      </c>
      <c r="L61" s="86">
        <v>51.045479649407419</v>
      </c>
    </row>
    <row r="62" spans="1:14" hidden="1" x14ac:dyDescent="0.25">
      <c r="B62">
        <v>5.0999999999999996</v>
      </c>
      <c r="C62" s="83">
        <v>42736</v>
      </c>
      <c r="D62" s="83">
        <v>43100</v>
      </c>
      <c r="E62" s="82" t="s">
        <v>164</v>
      </c>
      <c r="F62" s="87">
        <v>68155.824489427279</v>
      </c>
      <c r="G62" s="87">
        <v>4962.9954525790754</v>
      </c>
      <c r="H62" s="87">
        <v>11437.798779074668</v>
      </c>
      <c r="I62" s="87">
        <v>84556.618721081031</v>
      </c>
      <c r="J62" s="87">
        <v>89736.461382277499</v>
      </c>
      <c r="K62" s="86">
        <v>42.313862066944992</v>
      </c>
      <c r="L62" s="86">
        <v>53.635119937620388</v>
      </c>
    </row>
    <row r="63" spans="1:14" hidden="1" x14ac:dyDescent="0.25">
      <c r="B63">
        <v>5.2</v>
      </c>
      <c r="C63" s="83">
        <v>42736</v>
      </c>
      <c r="D63" s="83">
        <v>43100</v>
      </c>
      <c r="E63" s="82" t="s">
        <v>164</v>
      </c>
      <c r="F63" s="87">
        <v>70231.409423530902</v>
      </c>
      <c r="G63" s="87">
        <v>5114.1361462258219</v>
      </c>
      <c r="H63" s="87">
        <v>11786.120041461258</v>
      </c>
      <c r="I63" s="87">
        <v>87131.665611217977</v>
      </c>
      <c r="J63" s="87">
        <v>92469.252727406332</v>
      </c>
      <c r="K63" s="86">
        <v>43.602449754824974</v>
      </c>
      <c r="L63" s="86">
        <v>55.268505573398826</v>
      </c>
    </row>
    <row r="64" spans="1:14" hidden="1" x14ac:dyDescent="0.25">
      <c r="B64">
        <v>5.3</v>
      </c>
      <c r="C64" s="83">
        <v>42736</v>
      </c>
      <c r="D64" s="83">
        <v>43100</v>
      </c>
      <c r="E64" s="82" t="s">
        <v>164</v>
      </c>
      <c r="F64" s="87">
        <v>72308.717713049235</v>
      </c>
      <c r="G64" s="87">
        <v>5265.40233178981</v>
      </c>
      <c r="H64" s="87">
        <v>12134.730514529489</v>
      </c>
      <c r="I64" s="87">
        <v>89708.850559368526</v>
      </c>
      <c r="J64" s="87">
        <v>95204.313105560272</v>
      </c>
      <c r="K64" s="86">
        <v>44.892109281826727</v>
      </c>
      <c r="L64" s="86">
        <v>56.903201500096927</v>
      </c>
    </row>
    <row r="65" spans="2:12" hidden="1" x14ac:dyDescent="0.25">
      <c r="B65">
        <v>5.4</v>
      </c>
      <c r="C65" s="83">
        <v>42736</v>
      </c>
      <c r="D65" s="83">
        <v>43100</v>
      </c>
      <c r="E65" s="82" t="s">
        <v>164</v>
      </c>
      <c r="F65" s="87">
        <v>73170.662096200191</v>
      </c>
      <c r="G65" s="87">
        <v>5328.1677093052394</v>
      </c>
      <c r="H65" s="87">
        <v>12279.380608444259</v>
      </c>
      <c r="I65" s="87">
        <v>90778.210413949681</v>
      </c>
      <c r="J65" s="87">
        <v>96339.180733260902</v>
      </c>
      <c r="K65" s="86">
        <v>45.426645624633437</v>
      </c>
      <c r="L65" s="86">
        <v>57.581482768607756</v>
      </c>
    </row>
    <row r="66" spans="2:12" hidden="1" x14ac:dyDescent="0.25">
      <c r="B66" s="88">
        <v>6.1</v>
      </c>
      <c r="C66" s="83">
        <v>42736</v>
      </c>
      <c r="D66" s="83">
        <v>43100</v>
      </c>
      <c r="E66" s="82" t="s">
        <v>164</v>
      </c>
      <c r="F66" s="87">
        <v>76457.88661725726</v>
      </c>
      <c r="G66" s="87">
        <v>5567.5380121638527</v>
      </c>
      <c r="H66" s="87">
        <v>12831.037240803293</v>
      </c>
      <c r="I66" s="87">
        <v>94856.461870224404</v>
      </c>
      <c r="J66" s="87">
        <v>100667.26125313596</v>
      </c>
      <c r="K66" s="86">
        <v>47.468041433306077</v>
      </c>
      <c r="L66" s="86">
        <v>60.16843905809786</v>
      </c>
    </row>
    <row r="67" spans="2:12" hidden="1" x14ac:dyDescent="0.25">
      <c r="B67" s="88">
        <v>6.2</v>
      </c>
      <c r="C67" s="83">
        <v>42736</v>
      </c>
      <c r="D67" s="83">
        <v>43100</v>
      </c>
      <c r="E67" s="82" t="s">
        <v>164</v>
      </c>
      <c r="F67" s="87">
        <v>78532.444035899694</v>
      </c>
      <c r="G67" s="87">
        <v>5718.6038838185004</v>
      </c>
      <c r="H67" s="87">
        <v>13179.186067228973</v>
      </c>
      <c r="I67" s="87">
        <v>97430.233986947162</v>
      </c>
      <c r="J67" s="87">
        <v>103398.69973367554</v>
      </c>
      <c r="K67" s="86">
        <v>48.755993454242173</v>
      </c>
      <c r="L67" s="86">
        <v>61.800997737413326</v>
      </c>
    </row>
    <row r="68" spans="2:12" hidden="1" x14ac:dyDescent="0.25">
      <c r="B68" s="88">
        <v>6.3</v>
      </c>
      <c r="C68" s="83">
        <v>42736</v>
      </c>
      <c r="D68" s="83">
        <v>43100</v>
      </c>
      <c r="E68" s="82" t="s">
        <v>164</v>
      </c>
      <c r="F68" s="87">
        <v>80608.695958003082</v>
      </c>
      <c r="G68" s="87">
        <v>5869.7931464383983</v>
      </c>
      <c r="H68" s="87">
        <v>13527.619262448694</v>
      </c>
      <c r="I68" s="87">
        <v>100006.10836689017</v>
      </c>
      <c r="J68" s="87">
        <v>106132.3692596984</v>
      </c>
      <c r="K68" s="86">
        <v>50.044995550215688</v>
      </c>
      <c r="L68" s="86">
        <v>63.43484348725854</v>
      </c>
    </row>
    <row r="69" spans="2:12" hidden="1" x14ac:dyDescent="0.25">
      <c r="B69" s="88">
        <v>6.4</v>
      </c>
      <c r="C69" s="83">
        <v>42736</v>
      </c>
      <c r="D69" s="83">
        <v>43100</v>
      </c>
      <c r="E69" s="82" t="s">
        <v>164</v>
      </c>
      <c r="F69" s="87">
        <v>81469.223446277625</v>
      </c>
      <c r="G69" s="87">
        <v>5932.4553479907891</v>
      </c>
      <c r="H69" s="87">
        <v>13672.031575387164</v>
      </c>
      <c r="I69" s="87">
        <v>101073.71036965557</v>
      </c>
      <c r="J69" s="87">
        <v>107265.37135157267</v>
      </c>
      <c r="K69" s="86">
        <v>50.578653203143823</v>
      </c>
      <c r="L69" s="86">
        <v>64.111984422198105</v>
      </c>
    </row>
    <row r="70" spans="2:12" hidden="1" x14ac:dyDescent="0.25">
      <c r="B70" s="88">
        <v>7.1</v>
      </c>
      <c r="C70" s="83">
        <v>42736</v>
      </c>
      <c r="D70" s="83">
        <v>43100</v>
      </c>
      <c r="E70" s="82" t="s">
        <v>164</v>
      </c>
      <c r="F70" s="87">
        <v>84545.637091287543</v>
      </c>
      <c r="G70" s="87">
        <v>6156.4747483107858</v>
      </c>
      <c r="H70" s="87">
        <v>14188.310271983102</v>
      </c>
      <c r="I70" s="87">
        <v>104890.42211158143</v>
      </c>
      <c r="J70" s="87">
        <v>111315.89053051929</v>
      </c>
      <c r="K70" s="86">
        <v>52.489317369150278</v>
      </c>
      <c r="L70" s="86">
        <v>66.53307876449945</v>
      </c>
    </row>
    <row r="71" spans="2:12" hidden="1" x14ac:dyDescent="0.25">
      <c r="B71" s="88">
        <v>7.2</v>
      </c>
      <c r="C71" s="83">
        <v>42736</v>
      </c>
      <c r="D71" s="83">
        <v>43100</v>
      </c>
      <c r="E71" s="82" t="s">
        <v>164</v>
      </c>
      <c r="F71" s="87">
        <v>87141.043035028211</v>
      </c>
      <c r="G71" s="87">
        <v>6345.4679560502018</v>
      </c>
      <c r="H71" s="87">
        <v>14623.867044377883</v>
      </c>
      <c r="I71" s="87">
        <v>108110.37803545629</v>
      </c>
      <c r="J71" s="87">
        <v>114733.09730611843</v>
      </c>
      <c r="K71" s="86">
        <v>54.100629158470113</v>
      </c>
      <c r="L71" s="86">
        <v>68.575499948956448</v>
      </c>
    </row>
    <row r="72" spans="2:12" hidden="1" x14ac:dyDescent="0.25">
      <c r="B72" s="88">
        <v>7.3</v>
      </c>
      <c r="C72" s="83">
        <v>42736</v>
      </c>
      <c r="D72" s="83">
        <v>43100</v>
      </c>
      <c r="E72" s="82" t="s">
        <v>164</v>
      </c>
      <c r="F72" s="87">
        <v>89737.754102814593</v>
      </c>
      <c r="G72" s="87">
        <v>6534.5562007839271</v>
      </c>
      <c r="H72" s="87">
        <v>15059.642840551316</v>
      </c>
      <c r="I72" s="87">
        <v>111331.95314414984</v>
      </c>
      <c r="J72" s="87">
        <v>118152.02245596374</v>
      </c>
      <c r="K72" s="86">
        <v>55.712747999892727</v>
      </c>
      <c r="L72" s="86">
        <v>70.619016280671019</v>
      </c>
    </row>
    <row r="73" spans="2:12" hidden="1" x14ac:dyDescent="0.25">
      <c r="B73" s="88">
        <v>7.4</v>
      </c>
      <c r="C73" s="83">
        <v>42736</v>
      </c>
      <c r="D73" s="83">
        <v>43100</v>
      </c>
      <c r="E73" s="82" t="s">
        <v>164</v>
      </c>
      <c r="F73" s="87">
        <v>90813.649612303823</v>
      </c>
      <c r="G73" s="87">
        <v>6612.9011487182543</v>
      </c>
      <c r="H73" s="87">
        <v>15240.197861887122</v>
      </c>
      <c r="I73" s="87">
        <v>112666.7486229092</v>
      </c>
      <c r="J73" s="87">
        <v>119568.58599344429</v>
      </c>
      <c r="K73" s="86">
        <v>56.379966514365989</v>
      </c>
      <c r="L73" s="86">
        <v>71.465741108137976</v>
      </c>
    </row>
    <row r="74" spans="2:12" hidden="1" x14ac:dyDescent="0.25">
      <c r="B74" s="88">
        <v>8.1</v>
      </c>
      <c r="C74" s="83">
        <v>42736</v>
      </c>
      <c r="D74" s="83">
        <v>43100</v>
      </c>
      <c r="E74" s="82" t="s">
        <v>164</v>
      </c>
      <c r="F74" s="87">
        <v>95228.404129643241</v>
      </c>
      <c r="G74" s="87">
        <v>6934.3763382261932</v>
      </c>
      <c r="H74" s="87">
        <v>15981.074730542303</v>
      </c>
      <c r="I74" s="87">
        <v>118143.85519841174</v>
      </c>
      <c r="J74" s="87">
        <v>125381.21391226462</v>
      </c>
      <c r="K74" s="86">
        <v>59.121662071379625</v>
      </c>
      <c r="L74" s="86">
        <v>74.939826278249754</v>
      </c>
    </row>
    <row r="75" spans="2:12" hidden="1" x14ac:dyDescent="0.25">
      <c r="B75" s="88">
        <v>8.1999999999999993</v>
      </c>
      <c r="C75" s="83">
        <v>42736</v>
      </c>
      <c r="D75" s="83">
        <v>43100</v>
      </c>
      <c r="E75" s="82" t="s">
        <v>164</v>
      </c>
      <c r="F75" s="87">
        <v>98342.740553359836</v>
      </c>
      <c r="G75" s="87">
        <v>7161.1572131476687</v>
      </c>
      <c r="H75" s="87">
        <v>16503.717565716855</v>
      </c>
      <c r="I75" s="87">
        <v>122007.61533222436</v>
      </c>
      <c r="J75" s="87">
        <v>129481.66361427971</v>
      </c>
      <c r="K75" s="86">
        <v>61.05514027849415</v>
      </c>
      <c r="L75" s="86">
        <v>77.390687756532799</v>
      </c>
    </row>
    <row r="76" spans="2:12" hidden="1" x14ac:dyDescent="0.25">
      <c r="B76" s="88">
        <v>8.3000000000000007</v>
      </c>
      <c r="C76" s="83">
        <v>42736</v>
      </c>
      <c r="D76" s="83">
        <v>43100</v>
      </c>
      <c r="E76" s="82" t="s">
        <v>164</v>
      </c>
      <c r="F76" s="87">
        <v>101457.54927536857</v>
      </c>
      <c r="G76" s="87">
        <v>7387.9724800568238</v>
      </c>
      <c r="H76" s="87">
        <v>17026.439661216838</v>
      </c>
      <c r="I76" s="87">
        <v>125871.96141664224</v>
      </c>
      <c r="J76" s="87">
        <v>133582.73516157025</v>
      </c>
      <c r="K76" s="86">
        <v>62.988911382234868</v>
      </c>
      <c r="L76" s="86">
        <v>79.841830276249283</v>
      </c>
    </row>
    <row r="77" spans="2:12" hidden="1" x14ac:dyDescent="0.25">
      <c r="B77" s="88">
        <v>8.4</v>
      </c>
      <c r="C77" s="83">
        <v>42736</v>
      </c>
      <c r="D77" s="83">
        <v>43100</v>
      </c>
      <c r="E77" s="82" t="s">
        <v>164</v>
      </c>
      <c r="F77" s="87">
        <v>104569.02305737858</v>
      </c>
      <c r="G77" s="87">
        <v>7614.5449021002305</v>
      </c>
      <c r="H77" s="87">
        <v>17548.602092551195</v>
      </c>
      <c r="I77" s="87">
        <v>129732.17005203001</v>
      </c>
      <c r="J77" s="87">
        <v>137679.4158043908</v>
      </c>
      <c r="K77" s="86">
        <v>64.920610445507918</v>
      </c>
      <c r="L77" s="89">
        <v>82.290333565401241</v>
      </c>
    </row>
    <row r="78" spans="2:12" x14ac:dyDescent="0.25">
      <c r="B78" s="88">
        <v>8.5</v>
      </c>
      <c r="C78" s="83">
        <v>42736</v>
      </c>
      <c r="D78" s="83">
        <v>43100</v>
      </c>
      <c r="E78" s="82" t="s">
        <v>164</v>
      </c>
      <c r="F78" s="87">
        <v>105857.92509662185</v>
      </c>
      <c r="G78" s="87">
        <v>7708.4006364780944</v>
      </c>
      <c r="H78" s="87">
        <v>17764.903520657168</v>
      </c>
      <c r="I78" s="87">
        <v>131331.2292537571</v>
      </c>
      <c r="J78" s="87">
        <v>139376.43156110035</v>
      </c>
      <c r="K78" s="86">
        <v>65.719925338395313</v>
      </c>
      <c r="L78" s="89">
        <v>83.304633126246188</v>
      </c>
    </row>
    <row r="79" spans="2:12" x14ac:dyDescent="0.25">
      <c r="B79" s="88">
        <v>9.1</v>
      </c>
      <c r="C79" s="83">
        <v>42736</v>
      </c>
      <c r="D79" s="83">
        <v>43100</v>
      </c>
      <c r="E79" s="82" t="s">
        <v>164</v>
      </c>
      <c r="F79" s="87">
        <v>110795.61202193561</v>
      </c>
      <c r="G79" s="87">
        <v>8067.9549070069897</v>
      </c>
      <c r="H79" s="87">
        <v>18593.538049090876</v>
      </c>
      <c r="I79" s="87">
        <v>137457.10497803346</v>
      </c>
      <c r="J79" s="87">
        <v>145877.5714917006</v>
      </c>
      <c r="K79" s="86">
        <v>68.786273761764846</v>
      </c>
      <c r="L79" s="89">
        <v>87.190411306170944</v>
      </c>
    </row>
    <row r="80" spans="2:12" x14ac:dyDescent="0.25">
      <c r="B80" s="88">
        <v>9.1999999999999993</v>
      </c>
      <c r="C80" s="83">
        <v>42736</v>
      </c>
      <c r="D80" s="83">
        <v>43100</v>
      </c>
      <c r="E80" s="82" t="s">
        <v>164</v>
      </c>
      <c r="F80" s="87">
        <v>113909.2814576525</v>
      </c>
      <c r="G80" s="87">
        <v>8294.6872129553158</v>
      </c>
      <c r="H80" s="87">
        <v>19116.068951432309</v>
      </c>
      <c r="I80" s="87">
        <v>141320.03762204014</v>
      </c>
      <c r="J80" s="87">
        <v>149977.1430128217</v>
      </c>
      <c r="K80" s="86">
        <v>70.719337560785846</v>
      </c>
      <c r="L80" s="89">
        <v>89.640735984709409</v>
      </c>
    </row>
    <row r="81" spans="2:15" x14ac:dyDescent="0.25">
      <c r="B81" s="88">
        <v>9.3000000000000007</v>
      </c>
      <c r="C81" s="83">
        <v>42736</v>
      </c>
      <c r="D81" s="83">
        <v>43100</v>
      </c>
      <c r="E81" s="82" t="s">
        <v>164</v>
      </c>
      <c r="F81" s="87">
        <v>115200.07269006429</v>
      </c>
      <c r="G81" s="87">
        <v>8388.6805152839024</v>
      </c>
      <c r="H81" s="87">
        <v>19332.687420840011</v>
      </c>
      <c r="I81" s="87">
        <v>142921.44062618821</v>
      </c>
      <c r="J81" s="87">
        <v>151676.64615063311</v>
      </c>
      <c r="K81" s="86">
        <v>71.519824040178023</v>
      </c>
      <c r="L81" s="89">
        <v>90.65655599031605</v>
      </c>
    </row>
    <row r="82" spans="2:15" x14ac:dyDescent="0.25">
      <c r="B82" s="88">
        <v>10.1</v>
      </c>
      <c r="C82" s="83">
        <v>42736</v>
      </c>
      <c r="D82" s="83">
        <v>43100</v>
      </c>
      <c r="E82" s="82" t="s">
        <v>164</v>
      </c>
      <c r="F82" s="87">
        <v>118806.65887599514</v>
      </c>
      <c r="G82" s="87">
        <v>8651.3062112416392</v>
      </c>
      <c r="H82" s="87">
        <v>19937.938804461177</v>
      </c>
      <c r="I82" s="87">
        <v>147395.90389169796</v>
      </c>
      <c r="J82" s="87">
        <v>156425.20996627357</v>
      </c>
      <c r="K82" s="86">
        <v>73.759892766852587</v>
      </c>
      <c r="L82" s="89">
        <v>93.494677000067895</v>
      </c>
    </row>
    <row r="83" spans="2:15" x14ac:dyDescent="0.25">
      <c r="B83" s="88">
        <v>10.199999999999999</v>
      </c>
      <c r="C83" s="83">
        <v>42736</v>
      </c>
      <c r="D83" s="83">
        <v>43100</v>
      </c>
      <c r="E83" s="82" t="s">
        <v>164</v>
      </c>
      <c r="F83" s="87">
        <v>122370.85482122049</v>
      </c>
      <c r="G83" s="87">
        <v>8910.8451193359633</v>
      </c>
      <c r="H83" s="87">
        <v>20536.076327351911</v>
      </c>
      <c r="I83" s="87">
        <v>151817.77626790837</v>
      </c>
      <c r="J83" s="87">
        <v>161117.96123432112</v>
      </c>
      <c r="K83" s="86">
        <v>75.972687428000071</v>
      </c>
      <c r="L83" s="89">
        <v>96.299443771268756</v>
      </c>
    </row>
    <row r="84" spans="2:15" x14ac:dyDescent="0.25">
      <c r="B84" s="88">
        <v>10.3</v>
      </c>
      <c r="C84" s="83">
        <v>42736</v>
      </c>
      <c r="D84" s="83">
        <v>43100</v>
      </c>
      <c r="E84" s="223" t="s">
        <v>164</v>
      </c>
      <c r="F84" s="224">
        <v>123866.62351241999</v>
      </c>
      <c r="G84" s="224">
        <v>9019.7645443175297</v>
      </c>
      <c r="H84" s="224">
        <v>20787.09377799743</v>
      </c>
      <c r="I84" s="224">
        <v>153673.48183473496</v>
      </c>
      <c r="J84" s="224">
        <v>163087.34522167899</v>
      </c>
      <c r="K84" s="225">
        <v>76.900291043161076</v>
      </c>
      <c r="L84" s="85">
        <v>97.476539524812097</v>
      </c>
      <c r="M84" s="222"/>
      <c r="N84" s="222"/>
      <c r="O84" s="87"/>
    </row>
    <row r="85" spans="2:15" ht="30" x14ac:dyDescent="0.25">
      <c r="B85" s="243" t="s">
        <v>394</v>
      </c>
      <c r="C85" s="221">
        <v>42736</v>
      </c>
      <c r="D85" s="221">
        <v>43100</v>
      </c>
      <c r="E85" s="223" t="s">
        <v>164</v>
      </c>
      <c r="F85" s="226">
        <f>K85*35*52</f>
        <v>50915.507461000001</v>
      </c>
      <c r="G85" s="226">
        <f>(F85*(0.01+0.0545))</f>
        <v>3284.0502312345002</v>
      </c>
      <c r="H85" s="226">
        <f>F85*0.095</f>
        <v>4836.9732087950006</v>
      </c>
      <c r="I85" s="226">
        <f>F85+G85+H85+(H85*0.0545)</f>
        <v>59300.145940908827</v>
      </c>
      <c r="J85" s="226">
        <f>I85</f>
        <v>59300.145940908827</v>
      </c>
      <c r="K85" s="89">
        <f>J91</f>
        <v>27.975553550000001</v>
      </c>
      <c r="L85" s="89">
        <f>J91</f>
        <v>27.975553550000001</v>
      </c>
      <c r="M85" s="222"/>
      <c r="N85" s="222"/>
    </row>
    <row r="86" spans="2:15" ht="30" x14ac:dyDescent="0.25">
      <c r="B86" s="243" t="s">
        <v>395</v>
      </c>
      <c r="C86" s="221">
        <v>42736</v>
      </c>
      <c r="D86" s="221">
        <v>43100</v>
      </c>
      <c r="E86" s="223" t="s">
        <v>164</v>
      </c>
      <c r="F86" s="226">
        <f>K86*35*52</f>
        <v>58864.431398500004</v>
      </c>
      <c r="G86" s="226">
        <f>(F86*(0.01+0.0545))</f>
        <v>3796.7558252032504</v>
      </c>
      <c r="H86" s="226">
        <f t="shared" ref="H86" si="0">F86*0.095</f>
        <v>5592.1209828575002</v>
      </c>
      <c r="I86" s="226">
        <f>F86+G86+H86+(H86*0.0545)</f>
        <v>68558.078800126474</v>
      </c>
      <c r="J86" s="226">
        <f t="shared" ref="J86" si="1">I86</f>
        <v>68558.078800126474</v>
      </c>
      <c r="K86" s="89">
        <f>J92</f>
        <v>32.343094174999997</v>
      </c>
      <c r="L86" s="89">
        <f>J92</f>
        <v>32.343094174999997</v>
      </c>
      <c r="M86" s="222"/>
      <c r="N86" s="222"/>
    </row>
    <row r="87" spans="2:15" x14ac:dyDescent="0.25">
      <c r="C87" s="83"/>
      <c r="D87" s="83"/>
      <c r="E87" s="82"/>
      <c r="F87" s="84"/>
      <c r="G87" s="84"/>
      <c r="H87" s="84"/>
      <c r="I87" s="222"/>
      <c r="J87" s="84"/>
      <c r="K87" s="84"/>
      <c r="L87" s="84"/>
      <c r="M87" s="222"/>
      <c r="N87" s="222"/>
    </row>
    <row r="88" spans="2:15" x14ac:dyDescent="0.25">
      <c r="C88" s="83"/>
      <c r="D88" s="83"/>
      <c r="E88" s="82"/>
      <c r="F88" s="84"/>
      <c r="G88" s="84"/>
      <c r="H88" s="84"/>
      <c r="I88" s="84"/>
      <c r="J88" s="84"/>
      <c r="K88" s="84"/>
      <c r="L88" s="84"/>
    </row>
    <row r="89" spans="2:15" x14ac:dyDescent="0.25">
      <c r="C89" s="83"/>
      <c r="D89" s="83"/>
      <c r="E89" s="82"/>
      <c r="F89" s="84"/>
      <c r="G89" s="84"/>
      <c r="H89" s="84"/>
      <c r="I89" s="222"/>
      <c r="J89" s="84"/>
      <c r="K89" s="84"/>
      <c r="L89" s="84"/>
    </row>
    <row r="90" spans="2:15" ht="45" x14ac:dyDescent="0.25">
      <c r="D90" s="244" t="s">
        <v>402</v>
      </c>
      <c r="E90" s="245" t="s">
        <v>403</v>
      </c>
      <c r="F90" s="244" t="s">
        <v>404</v>
      </c>
      <c r="G90" s="246" t="s">
        <v>405</v>
      </c>
      <c r="H90" s="247" t="s">
        <v>406</v>
      </c>
      <c r="I90" s="247" t="s">
        <v>407</v>
      </c>
      <c r="J90" s="247" t="s">
        <v>408</v>
      </c>
      <c r="K90" s="84"/>
      <c r="L90" s="84"/>
    </row>
    <row r="91" spans="2:15" x14ac:dyDescent="0.25">
      <c r="D91">
        <v>2</v>
      </c>
      <c r="E91" s="242">
        <v>24.02</v>
      </c>
      <c r="F91" s="242">
        <f>E91*0.01</f>
        <v>0.2402</v>
      </c>
      <c r="G91" s="242">
        <f>E91*0.0545</f>
        <v>1.3090899999999999</v>
      </c>
      <c r="H91" s="242">
        <f>E91*0.095</f>
        <v>2.2818999999999998</v>
      </c>
      <c r="I91" s="242">
        <f>H91*0.0545</f>
        <v>0.12436354999999999</v>
      </c>
      <c r="J91" s="242">
        <f>SUM(E91:I91)</f>
        <v>27.975553550000001</v>
      </c>
      <c r="K91" s="84"/>
      <c r="L91" s="84"/>
    </row>
    <row r="92" spans="2:15" x14ac:dyDescent="0.25">
      <c r="D92">
        <v>3</v>
      </c>
      <c r="E92" s="242">
        <v>27.77</v>
      </c>
      <c r="F92" s="242">
        <f>E92*0.01</f>
        <v>0.2777</v>
      </c>
      <c r="G92" s="242">
        <f>E92*0.0545</f>
        <v>1.5134650000000001</v>
      </c>
      <c r="H92" s="242">
        <f>E92*0.095</f>
        <v>2.63815</v>
      </c>
      <c r="I92" s="242">
        <f>H92*0.0545</f>
        <v>0.14377917500000001</v>
      </c>
      <c r="J92" s="242">
        <f>SUM(E92:I92)</f>
        <v>32.343094174999997</v>
      </c>
      <c r="K92" s="84"/>
      <c r="L92" s="84"/>
    </row>
    <row r="93" spans="2:15" x14ac:dyDescent="0.25">
      <c r="C93" s="83"/>
      <c r="D93" s="83"/>
      <c r="E93" s="82"/>
      <c r="F93" s="84"/>
      <c r="G93" s="84"/>
      <c r="H93" s="84"/>
      <c r="I93" s="84"/>
      <c r="J93" s="84"/>
      <c r="K93" s="84"/>
      <c r="L93" s="84"/>
    </row>
    <row r="94" spans="2:15" x14ac:dyDescent="0.25">
      <c r="C94" s="83"/>
      <c r="D94" s="83"/>
      <c r="E94" s="82"/>
      <c r="F94" s="84"/>
      <c r="G94" s="84"/>
      <c r="H94" s="84"/>
      <c r="I94" s="84"/>
      <c r="J94" s="84"/>
      <c r="K94" s="84"/>
      <c r="L94" s="84"/>
    </row>
    <row r="95" spans="2:15" x14ac:dyDescent="0.25">
      <c r="C95" s="83"/>
      <c r="D95" s="83"/>
      <c r="E95" s="82"/>
      <c r="F95" s="84"/>
      <c r="G95" s="84"/>
      <c r="H95" s="84"/>
      <c r="I95" s="84"/>
      <c r="J95" s="84"/>
      <c r="K95" s="84"/>
      <c r="L95" s="84"/>
    </row>
    <row r="96" spans="2:15" x14ac:dyDescent="0.25">
      <c r="C96" s="83"/>
      <c r="D96" s="83"/>
      <c r="E96" s="82"/>
      <c r="F96" s="84"/>
      <c r="G96" s="84"/>
      <c r="H96" s="84"/>
      <c r="I96" s="84"/>
      <c r="J96" s="84"/>
      <c r="K96" s="84"/>
      <c r="L96" s="84"/>
    </row>
    <row r="97" spans="1:12" x14ac:dyDescent="0.25">
      <c r="C97" s="83"/>
      <c r="D97" s="83"/>
      <c r="E97" s="82"/>
      <c r="F97" s="84"/>
      <c r="G97" s="84"/>
      <c r="H97" s="84"/>
      <c r="I97" s="84"/>
      <c r="J97" s="84"/>
      <c r="K97" s="84"/>
      <c r="L97" s="84"/>
    </row>
    <row r="98" spans="1:12" x14ac:dyDescent="0.25">
      <c r="C98" s="83"/>
      <c r="D98" s="83"/>
      <c r="E98" s="82"/>
      <c r="F98" s="84"/>
      <c r="G98" s="84"/>
      <c r="H98" s="84"/>
      <c r="I98" s="84"/>
      <c r="J98" s="84"/>
      <c r="K98" s="84"/>
      <c r="L98" s="84"/>
    </row>
    <row r="99" spans="1:12" x14ac:dyDescent="0.25">
      <c r="C99" s="83"/>
      <c r="D99" s="83"/>
      <c r="E99" s="82"/>
      <c r="F99" s="84"/>
      <c r="G99" s="84"/>
      <c r="H99" s="84"/>
      <c r="I99" s="84"/>
      <c r="J99" s="84"/>
      <c r="K99" s="84"/>
      <c r="L99" s="84"/>
    </row>
    <row r="100" spans="1:12" x14ac:dyDescent="0.25">
      <c r="C100" s="83"/>
      <c r="D100" s="83"/>
      <c r="E100" s="82"/>
      <c r="F100" s="84"/>
      <c r="G100" s="84"/>
      <c r="H100" s="84"/>
      <c r="I100" s="84"/>
      <c r="J100" s="84"/>
      <c r="K100" s="84"/>
      <c r="L100" s="84"/>
    </row>
    <row r="101" spans="1:12" x14ac:dyDescent="0.25">
      <c r="C101" s="83"/>
      <c r="D101" s="83"/>
      <c r="E101" s="82"/>
      <c r="F101" s="84"/>
      <c r="G101" s="84"/>
      <c r="H101" s="84"/>
      <c r="I101" s="84"/>
      <c r="J101" s="84"/>
      <c r="K101" s="84"/>
      <c r="L101" s="84"/>
    </row>
    <row r="102" spans="1:12" x14ac:dyDescent="0.25">
      <c r="C102" s="83"/>
      <c r="D102" s="83"/>
      <c r="E102" s="82"/>
      <c r="F102" s="84"/>
      <c r="G102" s="84"/>
      <c r="H102" s="84"/>
      <c r="I102" s="84"/>
      <c r="J102" s="84"/>
      <c r="K102" s="84"/>
      <c r="L102" s="84"/>
    </row>
    <row r="103" spans="1:12" x14ac:dyDescent="0.25">
      <c r="C103" s="83"/>
      <c r="D103" s="83"/>
      <c r="E103" s="82"/>
      <c r="F103" s="84"/>
      <c r="G103" s="84"/>
      <c r="H103" s="84"/>
      <c r="I103" s="84"/>
      <c r="J103" s="84"/>
      <c r="K103" s="84"/>
      <c r="L103" s="84"/>
    </row>
    <row r="104" spans="1:12" x14ac:dyDescent="0.25">
      <c r="C104" s="83"/>
      <c r="D104" s="83"/>
      <c r="E104" s="82"/>
      <c r="F104" s="84"/>
      <c r="G104" s="84"/>
      <c r="H104" s="84"/>
      <c r="I104" s="84"/>
      <c r="J104" s="84"/>
      <c r="K104" s="84"/>
      <c r="L104" s="84"/>
    </row>
    <row r="105" spans="1:12" x14ac:dyDescent="0.25">
      <c r="C105" s="83"/>
      <c r="D105" s="83"/>
      <c r="E105" s="82"/>
      <c r="F105" s="84"/>
      <c r="G105" s="84"/>
      <c r="H105" s="84"/>
      <c r="I105" s="84"/>
      <c r="J105" s="84"/>
      <c r="K105" s="84"/>
      <c r="L105" s="84"/>
    </row>
    <row r="106" spans="1:12" x14ac:dyDescent="0.25">
      <c r="C106" s="83"/>
      <c r="D106" s="83"/>
      <c r="E106" s="82"/>
      <c r="F106" s="84"/>
      <c r="G106" s="84"/>
      <c r="H106" s="84"/>
      <c r="I106" s="84"/>
      <c r="J106" s="84"/>
      <c r="K106" s="84"/>
      <c r="L106" s="84"/>
    </row>
    <row r="107" spans="1:12" x14ac:dyDescent="0.25">
      <c r="C107" s="83"/>
      <c r="D107" s="83"/>
      <c r="E107" s="82"/>
    </row>
    <row r="108" spans="1:12" x14ac:dyDescent="0.25">
      <c r="A108" t="s">
        <v>163</v>
      </c>
      <c r="B108">
        <v>4.0999999999999996</v>
      </c>
      <c r="C108" s="83">
        <v>42370</v>
      </c>
      <c r="D108" s="83">
        <v>42735</v>
      </c>
      <c r="E108" s="82" t="s">
        <v>162</v>
      </c>
      <c r="F108" s="81">
        <v>33.417886195832573</v>
      </c>
      <c r="G108" s="81">
        <v>2.298593055686204</v>
      </c>
      <c r="H108" s="81">
        <v>3.1339577380099652</v>
      </c>
      <c r="I108" s="81">
        <v>38.850436989528738</v>
      </c>
      <c r="J108" s="81"/>
      <c r="K108" s="81"/>
      <c r="L108" s="81"/>
    </row>
    <row r="109" spans="1:12" x14ac:dyDescent="0.25">
      <c r="B109">
        <v>4.2</v>
      </c>
      <c r="C109" s="83">
        <v>42370</v>
      </c>
      <c r="D109" s="83">
        <v>42735</v>
      </c>
      <c r="E109" s="82" t="s">
        <v>162</v>
      </c>
      <c r="F109" s="81">
        <v>34.444279855338614</v>
      </c>
      <c r="G109" s="81">
        <v>2.3691918160121981</v>
      </c>
      <c r="H109" s="81">
        <v>3.2302138067691692</v>
      </c>
      <c r="I109" s="81">
        <v>40.043685478119983</v>
      </c>
      <c r="J109" s="81"/>
      <c r="K109" s="81"/>
      <c r="L109" s="81"/>
    </row>
    <row r="110" spans="1:12" x14ac:dyDescent="0.25">
      <c r="B110">
        <v>4.3</v>
      </c>
      <c r="C110" s="83">
        <v>42370</v>
      </c>
      <c r="D110" s="83">
        <v>42735</v>
      </c>
      <c r="E110" s="82" t="s">
        <v>162</v>
      </c>
      <c r="F110" s="81">
        <v>35.421035119365349</v>
      </c>
      <c r="G110" s="81">
        <v>2.4363762828524962</v>
      </c>
      <c r="H110" s="81">
        <v>3.3218147446591395</v>
      </c>
      <c r="I110" s="81">
        <v>41.179226146876985</v>
      </c>
      <c r="J110" s="81"/>
      <c r="K110" s="81"/>
      <c r="L110" s="81"/>
    </row>
    <row r="111" spans="1:12" x14ac:dyDescent="0.25">
      <c r="B111">
        <v>4.4000000000000004</v>
      </c>
      <c r="C111" s="83">
        <v>42370</v>
      </c>
      <c r="D111" s="83">
        <v>42735</v>
      </c>
      <c r="E111" s="82" t="s">
        <v>162</v>
      </c>
      <c r="F111" s="81">
        <v>35.776483746877496</v>
      </c>
      <c r="G111" s="81">
        <v>2.4608252184334218</v>
      </c>
      <c r="H111" s="81">
        <v>3.3551490187101298</v>
      </c>
      <c r="I111" s="81">
        <v>41.592457984021046</v>
      </c>
      <c r="J111" s="81"/>
      <c r="K111" s="81"/>
      <c r="L111" s="81"/>
    </row>
    <row r="112" spans="1:12" x14ac:dyDescent="0.25">
      <c r="B112">
        <v>5.0999999999999996</v>
      </c>
      <c r="C112" s="83">
        <v>42370</v>
      </c>
      <c r="D112" s="83">
        <v>42735</v>
      </c>
      <c r="E112" s="82" t="s">
        <v>162</v>
      </c>
      <c r="F112" s="81">
        <v>37.591914057706511</v>
      </c>
      <c r="G112" s="81">
        <v>2.5856965367777351</v>
      </c>
      <c r="H112" s="81">
        <v>3.5254016144937004</v>
      </c>
      <c r="I112" s="81">
        <v>43.703012208977945</v>
      </c>
      <c r="J112" s="81"/>
      <c r="K112" s="81"/>
      <c r="L112" s="81"/>
    </row>
    <row r="113" spans="1:12" x14ac:dyDescent="0.25">
      <c r="B113">
        <v>5.2</v>
      </c>
      <c r="C113" s="83">
        <v>42370</v>
      </c>
      <c r="D113" s="83">
        <v>42735</v>
      </c>
      <c r="E113" s="82" t="s">
        <v>162</v>
      </c>
      <c r="F113" s="81">
        <v>38.736703855951944</v>
      </c>
      <c r="G113" s="81">
        <v>2.6644389762320739</v>
      </c>
      <c r="H113" s="81">
        <v>3.6327609736578816</v>
      </c>
      <c r="I113" s="81">
        <v>45.033903805841895</v>
      </c>
      <c r="J113" s="81"/>
      <c r="K113" s="81"/>
      <c r="L113" s="81"/>
    </row>
    <row r="114" spans="1:12" x14ac:dyDescent="0.25">
      <c r="B114">
        <v>5.3</v>
      </c>
      <c r="C114" s="83">
        <v>42370</v>
      </c>
      <c r="D114" s="83">
        <v>42735</v>
      </c>
      <c r="E114" s="82" t="s">
        <v>162</v>
      </c>
      <c r="F114" s="81">
        <v>39.882445883140335</v>
      </c>
      <c r="G114" s="81">
        <v>2.7432469131515407</v>
      </c>
      <c r="H114" s="81">
        <v>3.7402096336607427</v>
      </c>
      <c r="I114" s="81">
        <v>46.365902429952612</v>
      </c>
      <c r="J114" s="81"/>
      <c r="K114" s="81"/>
      <c r="L114" s="81"/>
    </row>
    <row r="115" spans="1:12" x14ac:dyDescent="0.25">
      <c r="B115">
        <v>5.4</v>
      </c>
      <c r="C115" s="83">
        <v>42370</v>
      </c>
      <c r="D115" s="83">
        <v>42735</v>
      </c>
      <c r="E115" s="82" t="s">
        <v>162</v>
      </c>
      <c r="F115" s="81">
        <v>40.357331494567632</v>
      </c>
      <c r="G115" s="81">
        <v>2.7759111206443592</v>
      </c>
      <c r="H115" s="81">
        <v>3.7847448094609324</v>
      </c>
      <c r="I115" s="81">
        <v>46.917987424672923</v>
      </c>
      <c r="J115" s="81"/>
      <c r="K115" s="81"/>
      <c r="L115" s="81"/>
    </row>
    <row r="116" spans="1:12" x14ac:dyDescent="0.25">
      <c r="C116" s="83"/>
      <c r="D116" s="83"/>
      <c r="E116" s="82"/>
      <c r="F116" s="81"/>
      <c r="G116" s="81"/>
      <c r="H116" s="81"/>
      <c r="I116" s="81"/>
      <c r="J116" s="81"/>
      <c r="K116" s="81"/>
      <c r="L116" s="81"/>
    </row>
    <row r="117" spans="1:12" x14ac:dyDescent="0.25">
      <c r="A117" t="s">
        <v>161</v>
      </c>
      <c r="B117">
        <v>4.0999999999999996</v>
      </c>
      <c r="C117" s="83">
        <v>42370</v>
      </c>
      <c r="D117" s="83">
        <v>42735</v>
      </c>
      <c r="E117" s="82" t="s">
        <v>160</v>
      </c>
      <c r="F117" s="81">
        <v>41.095201788118189</v>
      </c>
      <c r="G117" s="81">
        <v>2.8634109225916045</v>
      </c>
      <c r="H117" s="81">
        <v>3.904044169871228</v>
      </c>
      <c r="I117" s="81">
        <v>47.862656880581028</v>
      </c>
      <c r="J117" s="81"/>
      <c r="K117" s="81"/>
      <c r="L117" s="81"/>
    </row>
    <row r="118" spans="1:12" x14ac:dyDescent="0.25">
      <c r="B118">
        <v>4.2</v>
      </c>
      <c r="C118" s="83">
        <v>42370</v>
      </c>
      <c r="D118" s="83">
        <v>42735</v>
      </c>
      <c r="E118" s="82" t="s">
        <v>160</v>
      </c>
      <c r="F118" s="81">
        <v>42.357330395596136</v>
      </c>
      <c r="G118" s="81">
        <v>2.9513528886391498</v>
      </c>
      <c r="H118" s="81">
        <v>4.0239463875816339</v>
      </c>
      <c r="I118" s="81">
        <v>49.332629671816925</v>
      </c>
      <c r="J118" s="81"/>
      <c r="K118" s="81"/>
      <c r="L118" s="81"/>
    </row>
    <row r="119" spans="1:12" x14ac:dyDescent="0.25">
      <c r="B119">
        <v>4.3</v>
      </c>
      <c r="C119" s="83">
        <v>42370</v>
      </c>
      <c r="D119" s="83">
        <v>42735</v>
      </c>
      <c r="E119" s="82" t="s">
        <v>160</v>
      </c>
      <c r="F119" s="81">
        <v>43.558400336255055</v>
      </c>
      <c r="G119" s="81">
        <v>3.0350404394294115</v>
      </c>
      <c r="H119" s="81">
        <v>4.1380480319442299</v>
      </c>
      <c r="I119" s="81">
        <v>50.731488807628693</v>
      </c>
      <c r="J119" s="81"/>
      <c r="K119" s="81"/>
      <c r="L119" s="81"/>
    </row>
    <row r="120" spans="1:12" x14ac:dyDescent="0.25">
      <c r="B120">
        <v>4.4000000000000004</v>
      </c>
      <c r="C120" s="83">
        <v>42370</v>
      </c>
      <c r="D120" s="83">
        <v>42735</v>
      </c>
      <c r="E120" s="82" t="s">
        <v>160</v>
      </c>
      <c r="F120" s="81">
        <v>43.995519347987901</v>
      </c>
      <c r="G120" s="81">
        <v>3.0654977993694268</v>
      </c>
      <c r="H120" s="81">
        <v>4.1795743380588499</v>
      </c>
      <c r="I120" s="81">
        <v>51.240591485416175</v>
      </c>
      <c r="J120" s="81"/>
      <c r="K120" s="81"/>
      <c r="L120" s="81"/>
    </row>
    <row r="121" spans="1:12" x14ac:dyDescent="0.25">
      <c r="B121">
        <v>5.0999999999999996</v>
      </c>
      <c r="C121" s="83">
        <v>42370</v>
      </c>
      <c r="D121" s="83">
        <v>42735</v>
      </c>
      <c r="E121" s="82" t="s">
        <v>160</v>
      </c>
      <c r="F121" s="81">
        <v>46.228140218982752</v>
      </c>
      <c r="G121" s="81">
        <v>3.2210612401081709</v>
      </c>
      <c r="H121" s="81">
        <v>4.3916733208033616</v>
      </c>
      <c r="I121" s="81">
        <v>53.840874779894293</v>
      </c>
      <c r="J121" s="81"/>
      <c r="K121" s="81"/>
      <c r="L121" s="81"/>
    </row>
    <row r="122" spans="1:12" x14ac:dyDescent="0.25">
      <c r="B122">
        <v>5.2</v>
      </c>
      <c r="C122" s="83">
        <v>42370</v>
      </c>
      <c r="D122" s="83">
        <v>42735</v>
      </c>
      <c r="E122" s="82" t="s">
        <v>160</v>
      </c>
      <c r="F122" s="81">
        <v>47.635936035984514</v>
      </c>
      <c r="G122" s="81">
        <v>3.3191529331473109</v>
      </c>
      <c r="H122" s="81">
        <v>4.5254139234185287</v>
      </c>
      <c r="I122" s="81">
        <v>55.480502892550355</v>
      </c>
      <c r="J122" s="81"/>
      <c r="K122" s="81"/>
      <c r="L122" s="81"/>
    </row>
    <row r="123" spans="1:12" x14ac:dyDescent="0.25">
      <c r="B123">
        <v>5.3</v>
      </c>
      <c r="C123" s="83">
        <v>42370</v>
      </c>
      <c r="D123" s="83">
        <v>42735</v>
      </c>
      <c r="E123" s="82" t="s">
        <v>160</v>
      </c>
      <c r="F123" s="81">
        <v>49.044863278483483</v>
      </c>
      <c r="G123" s="81">
        <v>3.4173234610865326</v>
      </c>
      <c r="H123" s="81">
        <v>4.6592620114559304</v>
      </c>
      <c r="I123" s="81">
        <v>57.121448751025945</v>
      </c>
      <c r="J123" s="81"/>
      <c r="K123" s="81"/>
      <c r="L123" s="81"/>
    </row>
    <row r="124" spans="1:12" x14ac:dyDescent="0.25">
      <c r="B124">
        <v>5.4</v>
      </c>
      <c r="C124" s="83">
        <v>42370</v>
      </c>
      <c r="D124" s="83">
        <v>42735</v>
      </c>
      <c r="E124" s="82" t="s">
        <v>160</v>
      </c>
      <c r="F124" s="81">
        <v>49.628826227740689</v>
      </c>
      <c r="G124" s="81">
        <v>3.4580125394834025</v>
      </c>
      <c r="H124" s="81">
        <v>4.7147384916353658</v>
      </c>
      <c r="I124" s="81">
        <v>57.801577258859453</v>
      </c>
      <c r="J124" s="81"/>
      <c r="K124" s="81"/>
      <c r="L124" s="81"/>
    </row>
    <row r="125" spans="1:12" x14ac:dyDescent="0.25">
      <c r="F125" s="80"/>
      <c r="G125" s="80"/>
      <c r="H125" s="80"/>
      <c r="I125" s="79"/>
      <c r="J125" s="79"/>
      <c r="K125" s="79"/>
      <c r="L125" s="79"/>
    </row>
    <row r="126" spans="1:12" x14ac:dyDescent="0.25">
      <c r="F126" s="80"/>
      <c r="G126" s="80"/>
      <c r="H126" s="80"/>
      <c r="I126" s="79"/>
      <c r="J126" s="79"/>
      <c r="K126" s="79"/>
      <c r="L126" s="79"/>
    </row>
    <row r="127" spans="1:12" x14ac:dyDescent="0.25">
      <c r="F127" s="80"/>
      <c r="G127" s="80"/>
      <c r="H127" s="80"/>
      <c r="I127" s="79"/>
      <c r="J127" s="79"/>
      <c r="K127" s="79"/>
      <c r="L127" s="79"/>
    </row>
    <row r="128" spans="1:12" x14ac:dyDescent="0.25">
      <c r="F128" s="80"/>
      <c r="G128" s="80"/>
      <c r="H128" s="80"/>
      <c r="I128" s="79"/>
      <c r="J128" s="79"/>
      <c r="K128" s="79"/>
      <c r="L128" s="79"/>
    </row>
    <row r="129" spans="6:12" x14ac:dyDescent="0.25">
      <c r="F129" s="80"/>
      <c r="G129" s="80"/>
      <c r="H129" s="80"/>
      <c r="I129" s="79"/>
      <c r="J129" s="79"/>
      <c r="K129" s="79"/>
      <c r="L129" s="79"/>
    </row>
    <row r="130" spans="6:12" x14ac:dyDescent="0.25">
      <c r="F130" s="80"/>
      <c r="G130" s="80"/>
      <c r="H130" s="80"/>
      <c r="I130" s="79"/>
      <c r="J130" s="79"/>
      <c r="K130" s="79"/>
      <c r="L130" s="79"/>
    </row>
    <row r="131" spans="6:12" x14ac:dyDescent="0.25">
      <c r="F131" s="80"/>
      <c r="G131" s="80"/>
      <c r="H131" s="80"/>
      <c r="I131" s="79"/>
      <c r="J131" s="79"/>
      <c r="K131" s="79"/>
      <c r="L131" s="79"/>
    </row>
    <row r="132" spans="6:12" x14ac:dyDescent="0.25">
      <c r="F132" s="80"/>
      <c r="G132" s="80"/>
      <c r="H132" s="80"/>
      <c r="I132" s="79"/>
      <c r="J132" s="79"/>
      <c r="K132" s="79"/>
      <c r="L132" s="79"/>
    </row>
    <row r="133" spans="6:12" x14ac:dyDescent="0.25">
      <c r="F133" s="80"/>
      <c r="G133" s="80"/>
      <c r="H133" s="80"/>
      <c r="I133" s="79"/>
      <c r="J133" s="79"/>
      <c r="K133" s="79"/>
      <c r="L133" s="79"/>
    </row>
    <row r="134" spans="6:12" x14ac:dyDescent="0.25">
      <c r="F134" s="80"/>
      <c r="G134" s="80"/>
      <c r="H134" s="80"/>
      <c r="I134" s="79"/>
      <c r="J134" s="79"/>
      <c r="K134" s="79"/>
      <c r="L134" s="79"/>
    </row>
    <row r="135" spans="6:12" x14ac:dyDescent="0.25">
      <c r="F135" s="80"/>
      <c r="G135" s="80"/>
      <c r="H135" s="80"/>
      <c r="I135" s="79"/>
      <c r="J135" s="79"/>
      <c r="K135" s="79"/>
      <c r="L135" s="79"/>
    </row>
    <row r="136" spans="6:12" x14ac:dyDescent="0.25">
      <c r="F136" s="80"/>
      <c r="G136" s="80"/>
      <c r="H136" s="80"/>
      <c r="I136" s="79"/>
      <c r="J136" s="79"/>
      <c r="K136" s="79"/>
      <c r="L136" s="79"/>
    </row>
    <row r="137" spans="6:12" x14ac:dyDescent="0.25">
      <c r="F137" s="80"/>
      <c r="G137" s="80"/>
      <c r="H137" s="80"/>
      <c r="I137" s="79"/>
      <c r="J137" s="79"/>
      <c r="K137" s="79"/>
      <c r="L137" s="79"/>
    </row>
    <row r="138" spans="6:12" x14ac:dyDescent="0.25">
      <c r="F138" s="80"/>
      <c r="G138" s="80"/>
      <c r="H138" s="80"/>
      <c r="I138" s="79"/>
      <c r="J138" s="79"/>
      <c r="K138" s="79"/>
      <c r="L138" s="79"/>
    </row>
    <row r="139" spans="6:12" x14ac:dyDescent="0.25">
      <c r="F139" s="80"/>
      <c r="G139" s="80"/>
      <c r="H139" s="80"/>
      <c r="I139" s="79"/>
      <c r="J139" s="79"/>
      <c r="K139" s="79"/>
      <c r="L139" s="79"/>
    </row>
    <row r="140" spans="6:12" x14ac:dyDescent="0.25">
      <c r="F140" s="80"/>
      <c r="G140" s="80"/>
      <c r="H140" s="80"/>
      <c r="I140" s="79"/>
      <c r="J140" s="79"/>
      <c r="K140" s="79"/>
      <c r="L140" s="79"/>
    </row>
    <row r="141" spans="6:12" x14ac:dyDescent="0.25">
      <c r="F141" s="80"/>
      <c r="G141" s="80"/>
      <c r="H141" s="80"/>
      <c r="I141" s="79"/>
      <c r="J141" s="79"/>
      <c r="K141" s="79"/>
      <c r="L141" s="79"/>
    </row>
    <row r="142" spans="6:12" x14ac:dyDescent="0.25">
      <c r="F142" s="80"/>
      <c r="G142" s="80"/>
      <c r="H142" s="80"/>
      <c r="I142" s="79"/>
      <c r="J142" s="79"/>
      <c r="K142" s="79"/>
      <c r="L142" s="79"/>
    </row>
    <row r="143" spans="6:12" x14ac:dyDescent="0.25">
      <c r="F143" s="80"/>
      <c r="G143" s="80"/>
      <c r="H143" s="80"/>
      <c r="I143" s="79"/>
      <c r="J143" s="79"/>
      <c r="K143" s="79"/>
      <c r="L143" s="79"/>
    </row>
    <row r="144" spans="6:12" x14ac:dyDescent="0.25">
      <c r="F144" s="80"/>
      <c r="G144" s="80"/>
      <c r="H144" s="80"/>
      <c r="I144" s="79"/>
      <c r="J144" s="79"/>
      <c r="K144" s="79"/>
      <c r="L144" s="79"/>
    </row>
    <row r="145" spans="6:12" x14ac:dyDescent="0.25">
      <c r="F145" s="80"/>
      <c r="G145" s="80"/>
      <c r="H145" s="80"/>
      <c r="I145" s="79"/>
      <c r="J145" s="79"/>
      <c r="K145" s="79"/>
      <c r="L145" s="79"/>
    </row>
    <row r="146" spans="6:12" x14ac:dyDescent="0.25">
      <c r="F146" s="80"/>
      <c r="G146" s="80"/>
      <c r="H146" s="80"/>
      <c r="I146" s="79"/>
      <c r="J146" s="79"/>
      <c r="K146" s="79"/>
      <c r="L146" s="79"/>
    </row>
    <row r="147" spans="6:12" x14ac:dyDescent="0.25">
      <c r="F147" s="80"/>
      <c r="G147" s="80"/>
      <c r="H147" s="80"/>
      <c r="I147" s="79"/>
      <c r="J147" s="79"/>
      <c r="K147" s="79"/>
      <c r="L147" s="79"/>
    </row>
    <row r="148" spans="6:12" x14ac:dyDescent="0.25">
      <c r="F148" s="80"/>
      <c r="G148" s="80"/>
      <c r="H148" s="80"/>
      <c r="I148" s="79"/>
      <c r="J148" s="79"/>
      <c r="K148" s="79"/>
      <c r="L148" s="79"/>
    </row>
    <row r="149" spans="6:12" x14ac:dyDescent="0.25">
      <c r="F149" s="80"/>
      <c r="G149" s="80"/>
      <c r="H149" s="80"/>
      <c r="I149" s="79"/>
      <c r="J149" s="79"/>
      <c r="K149" s="79"/>
      <c r="L149" s="79"/>
    </row>
    <row r="150" spans="6:12" x14ac:dyDescent="0.25">
      <c r="F150" s="80"/>
      <c r="G150" s="80"/>
      <c r="H150" s="80"/>
      <c r="I150" s="79"/>
      <c r="J150" s="79"/>
      <c r="K150" s="79"/>
      <c r="L150" s="79"/>
    </row>
    <row r="151" spans="6:12" x14ac:dyDescent="0.25">
      <c r="F151" s="80"/>
      <c r="G151" s="80"/>
      <c r="H151" s="80"/>
      <c r="I151" s="79"/>
      <c r="J151" s="79"/>
      <c r="K151" s="79"/>
      <c r="L151" s="79"/>
    </row>
    <row r="152" spans="6:12" x14ac:dyDescent="0.25">
      <c r="F152" s="80"/>
      <c r="G152" s="80"/>
      <c r="H152" s="80"/>
      <c r="I152" s="79"/>
      <c r="J152" s="79"/>
      <c r="K152" s="79"/>
      <c r="L152" s="79"/>
    </row>
    <row r="153" spans="6:12" x14ac:dyDescent="0.25">
      <c r="F153" s="80"/>
      <c r="G153" s="80"/>
      <c r="H153" s="80"/>
      <c r="I153" s="79"/>
      <c r="J153" s="79"/>
      <c r="K153" s="79"/>
      <c r="L153" s="79"/>
    </row>
    <row r="154" spans="6:12" x14ac:dyDescent="0.25">
      <c r="F154" s="80"/>
      <c r="G154" s="80"/>
      <c r="H154" s="80"/>
      <c r="I154" s="79"/>
      <c r="J154" s="79"/>
      <c r="K154" s="79"/>
      <c r="L154" s="79"/>
    </row>
    <row r="155" spans="6:12" x14ac:dyDescent="0.25">
      <c r="F155" s="80"/>
      <c r="G155" s="80"/>
      <c r="H155" s="80"/>
      <c r="I155" s="79"/>
      <c r="J155" s="79"/>
      <c r="K155" s="79"/>
      <c r="L155" s="79"/>
    </row>
    <row r="156" spans="6:12" x14ac:dyDescent="0.25">
      <c r="F156" s="80"/>
      <c r="G156" s="80"/>
      <c r="H156" s="80"/>
      <c r="I156" s="79"/>
      <c r="J156" s="79"/>
      <c r="K156" s="79"/>
      <c r="L156" s="79"/>
    </row>
    <row r="157" spans="6:12" x14ac:dyDescent="0.25">
      <c r="F157" s="80"/>
      <c r="G157" s="80"/>
      <c r="H157" s="80"/>
      <c r="I157" s="79"/>
      <c r="J157" s="79"/>
      <c r="K157" s="79"/>
      <c r="L157" s="79"/>
    </row>
    <row r="158" spans="6:12" x14ac:dyDescent="0.25">
      <c r="F158" s="80"/>
      <c r="G158" s="80"/>
      <c r="H158" s="80"/>
      <c r="I158" s="79"/>
      <c r="J158" s="79"/>
      <c r="K158" s="79"/>
      <c r="L158" s="79"/>
    </row>
    <row r="159" spans="6:12" x14ac:dyDescent="0.25">
      <c r="F159" s="80"/>
      <c r="G159" s="80"/>
      <c r="H159" s="80"/>
      <c r="I159" s="79"/>
      <c r="J159" s="79"/>
      <c r="K159" s="79"/>
      <c r="L159" s="79"/>
    </row>
    <row r="160" spans="6:12" x14ac:dyDescent="0.25">
      <c r="F160" s="80"/>
      <c r="G160" s="80"/>
      <c r="H160" s="80"/>
      <c r="I160" s="79"/>
      <c r="J160" s="79"/>
      <c r="K160" s="79"/>
      <c r="L160" s="79"/>
    </row>
    <row r="161" spans="6:12" x14ac:dyDescent="0.25">
      <c r="F161" s="80"/>
      <c r="G161" s="80"/>
      <c r="H161" s="80"/>
      <c r="I161" s="79"/>
      <c r="J161" s="79"/>
      <c r="K161" s="79"/>
      <c r="L161" s="79"/>
    </row>
    <row r="162" spans="6:12" x14ac:dyDescent="0.25">
      <c r="F162" s="80"/>
      <c r="G162" s="80"/>
      <c r="H162" s="80"/>
      <c r="I162" s="79"/>
      <c r="J162" s="79"/>
      <c r="K162" s="79"/>
      <c r="L162" s="79"/>
    </row>
    <row r="163" spans="6:12" x14ac:dyDescent="0.25">
      <c r="F163" s="80"/>
      <c r="G163" s="80"/>
      <c r="H163" s="80"/>
      <c r="I163" s="79"/>
      <c r="J163" s="79"/>
      <c r="K163" s="79"/>
      <c r="L163" s="79"/>
    </row>
    <row r="164" spans="6:12" x14ac:dyDescent="0.25">
      <c r="F164" s="80"/>
      <c r="G164" s="80"/>
      <c r="H164" s="80"/>
      <c r="I164" s="79"/>
      <c r="J164" s="79"/>
      <c r="K164" s="79"/>
      <c r="L164" s="79"/>
    </row>
    <row r="165" spans="6:12" x14ac:dyDescent="0.25">
      <c r="F165" s="80"/>
      <c r="G165" s="80"/>
      <c r="H165" s="80"/>
      <c r="I165" s="79"/>
      <c r="J165" s="79"/>
      <c r="K165" s="79"/>
      <c r="L165" s="79"/>
    </row>
    <row r="166" spans="6:12" x14ac:dyDescent="0.25">
      <c r="F166" s="80"/>
      <c r="G166" s="80"/>
      <c r="H166" s="80"/>
      <c r="I166" s="79"/>
      <c r="J166" s="79"/>
      <c r="K166" s="79"/>
      <c r="L166" s="79"/>
    </row>
    <row r="167" spans="6:12" x14ac:dyDescent="0.25">
      <c r="F167" s="80"/>
      <c r="G167" s="80"/>
      <c r="H167" s="80"/>
      <c r="I167" s="79"/>
      <c r="J167" s="79"/>
      <c r="K167" s="79"/>
      <c r="L167" s="79"/>
    </row>
    <row r="168" spans="6:12" x14ac:dyDescent="0.25">
      <c r="F168" s="80"/>
      <c r="G168" s="80"/>
      <c r="H168" s="80"/>
      <c r="I168" s="79"/>
      <c r="J168" s="79"/>
      <c r="K168" s="79"/>
      <c r="L168" s="79"/>
    </row>
    <row r="169" spans="6:12" x14ac:dyDescent="0.25">
      <c r="F169" s="80"/>
      <c r="G169" s="80"/>
      <c r="H169" s="80"/>
      <c r="I169" s="79"/>
      <c r="J169" s="79"/>
      <c r="K169" s="79"/>
      <c r="L169" s="79"/>
    </row>
    <row r="170" spans="6:12" x14ac:dyDescent="0.25">
      <c r="F170" s="80"/>
      <c r="G170" s="80"/>
      <c r="H170" s="80"/>
      <c r="I170" s="79"/>
      <c r="J170" s="79"/>
      <c r="K170" s="79"/>
      <c r="L170" s="79"/>
    </row>
    <row r="171" spans="6:12" x14ac:dyDescent="0.25">
      <c r="F171" s="80"/>
      <c r="G171" s="80"/>
      <c r="H171" s="80"/>
      <c r="I171" s="79"/>
      <c r="J171" s="79"/>
      <c r="K171" s="79"/>
      <c r="L171" s="79"/>
    </row>
    <row r="172" spans="6:12" x14ac:dyDescent="0.25">
      <c r="F172" s="80"/>
      <c r="G172" s="80"/>
      <c r="H172" s="80"/>
      <c r="I172" s="79"/>
      <c r="J172" s="79"/>
      <c r="K172" s="79"/>
      <c r="L172" s="79"/>
    </row>
    <row r="173" spans="6:12" x14ac:dyDescent="0.25">
      <c r="F173" s="80"/>
      <c r="G173" s="80"/>
      <c r="H173" s="80"/>
      <c r="I173" s="79"/>
      <c r="J173" s="79"/>
      <c r="K173" s="79"/>
      <c r="L173" s="79"/>
    </row>
    <row r="174" spans="6:12" x14ac:dyDescent="0.25">
      <c r="F174" s="80"/>
      <c r="G174" s="80"/>
      <c r="H174" s="80"/>
      <c r="I174" s="79"/>
      <c r="J174" s="79"/>
      <c r="K174" s="79"/>
      <c r="L174" s="79"/>
    </row>
    <row r="175" spans="6:12" x14ac:dyDescent="0.25">
      <c r="F175" s="80"/>
      <c r="G175" s="80"/>
      <c r="H175" s="80"/>
      <c r="I175" s="79"/>
      <c r="J175" s="79"/>
      <c r="K175" s="79"/>
      <c r="L175" s="79"/>
    </row>
    <row r="176" spans="6:12" x14ac:dyDescent="0.25">
      <c r="F176" s="80"/>
      <c r="G176" s="80"/>
      <c r="H176" s="80"/>
      <c r="I176" s="79"/>
      <c r="J176" s="79"/>
      <c r="K176" s="79"/>
      <c r="L176" s="79"/>
    </row>
    <row r="177" spans="6:12" x14ac:dyDescent="0.25">
      <c r="F177" s="80"/>
      <c r="G177" s="80"/>
      <c r="H177" s="80"/>
      <c r="I177" s="79"/>
      <c r="J177" s="79"/>
      <c r="K177" s="79"/>
      <c r="L177" s="79"/>
    </row>
    <row r="178" spans="6:12" x14ac:dyDescent="0.25">
      <c r="F178" s="80"/>
      <c r="G178" s="80"/>
      <c r="H178" s="80"/>
      <c r="I178" s="79"/>
      <c r="J178" s="79"/>
      <c r="K178" s="79"/>
      <c r="L178" s="79"/>
    </row>
    <row r="179" spans="6:12" x14ac:dyDescent="0.25">
      <c r="F179" s="80"/>
      <c r="G179" s="80"/>
      <c r="H179" s="80"/>
      <c r="I179" s="79"/>
      <c r="J179" s="79"/>
      <c r="K179" s="79"/>
      <c r="L179" s="79"/>
    </row>
    <row r="180" spans="6:12" x14ac:dyDescent="0.25">
      <c r="F180" s="80"/>
      <c r="G180" s="80"/>
      <c r="H180" s="80"/>
      <c r="I180" s="79"/>
      <c r="J180" s="79"/>
      <c r="K180" s="79"/>
      <c r="L180" s="79"/>
    </row>
    <row r="181" spans="6:12" x14ac:dyDescent="0.25">
      <c r="F181" s="80"/>
      <c r="G181" s="80"/>
      <c r="H181" s="80"/>
      <c r="I181" s="79"/>
      <c r="J181" s="79"/>
      <c r="K181" s="79"/>
      <c r="L181" s="79"/>
    </row>
    <row r="182" spans="6:12" x14ac:dyDescent="0.25">
      <c r="F182" s="80"/>
      <c r="G182" s="80"/>
      <c r="H182" s="80"/>
      <c r="I182" s="79"/>
      <c r="J182" s="79"/>
      <c r="K182" s="79"/>
      <c r="L182" s="79"/>
    </row>
    <row r="183" spans="6:12" x14ac:dyDescent="0.25">
      <c r="F183" s="80"/>
      <c r="G183" s="80"/>
      <c r="H183" s="80"/>
      <c r="I183" s="79"/>
      <c r="J183" s="79"/>
      <c r="K183" s="79"/>
      <c r="L183" s="79"/>
    </row>
    <row r="184" spans="6:12" x14ac:dyDescent="0.25">
      <c r="F184" s="80"/>
      <c r="G184" s="80"/>
      <c r="H184" s="80"/>
      <c r="I184" s="79"/>
      <c r="J184" s="79"/>
      <c r="K184" s="79"/>
      <c r="L184" s="79"/>
    </row>
    <row r="185" spans="6:12" x14ac:dyDescent="0.25">
      <c r="F185" s="80"/>
      <c r="G185" s="80"/>
      <c r="H185" s="80"/>
      <c r="I185" s="79"/>
      <c r="J185" s="79"/>
      <c r="K185" s="79"/>
      <c r="L185" s="79"/>
    </row>
    <row r="186" spans="6:12" x14ac:dyDescent="0.25">
      <c r="F186" s="80"/>
      <c r="G186" s="80"/>
      <c r="H186" s="80"/>
      <c r="I186" s="79"/>
      <c r="J186" s="79"/>
      <c r="K186" s="79"/>
      <c r="L186" s="79"/>
    </row>
    <row r="187" spans="6:12" x14ac:dyDescent="0.25">
      <c r="F187" s="80"/>
      <c r="G187" s="80"/>
      <c r="H187" s="80"/>
      <c r="I187" s="79"/>
      <c r="J187" s="79"/>
      <c r="K187" s="79"/>
      <c r="L187" s="79"/>
    </row>
    <row r="188" spans="6:12" x14ac:dyDescent="0.25">
      <c r="F188" s="80"/>
      <c r="G188" s="80"/>
      <c r="H188" s="80"/>
      <c r="I188" s="79"/>
      <c r="J188" s="79"/>
      <c r="K188" s="79"/>
      <c r="L188" s="79"/>
    </row>
    <row r="189" spans="6:12" x14ac:dyDescent="0.25">
      <c r="F189" s="80"/>
      <c r="G189" s="80"/>
      <c r="H189" s="80"/>
      <c r="I189" s="79"/>
      <c r="J189" s="79"/>
      <c r="K189" s="79"/>
      <c r="L189" s="79"/>
    </row>
    <row r="190" spans="6:12" x14ac:dyDescent="0.25">
      <c r="F190" s="80"/>
      <c r="G190" s="80"/>
      <c r="H190" s="80"/>
      <c r="I190" s="79"/>
      <c r="J190" s="79"/>
      <c r="K190" s="79"/>
      <c r="L190" s="79"/>
    </row>
    <row r="191" spans="6:12" x14ac:dyDescent="0.25">
      <c r="F191" s="80"/>
      <c r="G191" s="80"/>
      <c r="H191" s="80"/>
      <c r="I191" s="79"/>
      <c r="J191" s="79"/>
      <c r="K191" s="79"/>
      <c r="L191" s="79"/>
    </row>
    <row r="192" spans="6:12" x14ac:dyDescent="0.25">
      <c r="F192" s="80"/>
      <c r="G192" s="80"/>
      <c r="H192" s="80"/>
      <c r="I192" s="79"/>
      <c r="J192" s="79"/>
      <c r="K192" s="79"/>
      <c r="L192" s="79"/>
    </row>
    <row r="193" spans="6:12" x14ac:dyDescent="0.25">
      <c r="F193" s="80"/>
      <c r="G193" s="80"/>
      <c r="H193" s="80"/>
      <c r="I193" s="79"/>
      <c r="J193" s="79"/>
      <c r="K193" s="79"/>
      <c r="L193" s="79"/>
    </row>
    <row r="194" spans="6:12" x14ac:dyDescent="0.25">
      <c r="F194" s="80"/>
      <c r="G194" s="80"/>
      <c r="H194" s="80"/>
      <c r="I194" s="79"/>
      <c r="J194" s="79"/>
      <c r="K194" s="79"/>
      <c r="L194" s="79"/>
    </row>
    <row r="195" spans="6:12" x14ac:dyDescent="0.25">
      <c r="F195" s="80"/>
      <c r="G195" s="80"/>
      <c r="H195" s="80"/>
      <c r="I195" s="79"/>
      <c r="J195" s="79"/>
      <c r="K195" s="79"/>
      <c r="L195" s="79"/>
    </row>
    <row r="196" spans="6:12" x14ac:dyDescent="0.25">
      <c r="F196" s="80"/>
      <c r="G196" s="80"/>
      <c r="H196" s="80"/>
      <c r="I196" s="79"/>
      <c r="J196" s="79"/>
      <c r="K196" s="79"/>
      <c r="L196" s="79"/>
    </row>
    <row r="197" spans="6:12" x14ac:dyDescent="0.25">
      <c r="F197" s="80"/>
      <c r="G197" s="80"/>
      <c r="H197" s="80"/>
      <c r="I197" s="79"/>
      <c r="J197" s="79"/>
      <c r="K197" s="79"/>
      <c r="L197" s="79"/>
    </row>
    <row r="198" spans="6:12" x14ac:dyDescent="0.25">
      <c r="F198" s="80"/>
      <c r="G198" s="80"/>
      <c r="H198" s="80"/>
      <c r="I198" s="79"/>
      <c r="J198" s="79"/>
      <c r="K198" s="79"/>
      <c r="L198" s="79"/>
    </row>
    <row r="199" spans="6:12" x14ac:dyDescent="0.25">
      <c r="F199" s="80"/>
      <c r="G199" s="80"/>
      <c r="H199" s="80"/>
      <c r="I199" s="79"/>
      <c r="J199" s="79"/>
      <c r="K199" s="79"/>
      <c r="L199" s="79"/>
    </row>
    <row r="200" spans="6:12" x14ac:dyDescent="0.25">
      <c r="F200" s="80"/>
      <c r="G200" s="80"/>
      <c r="H200" s="80"/>
      <c r="I200" s="79"/>
      <c r="J200" s="79"/>
      <c r="K200" s="79"/>
      <c r="L200" s="79"/>
    </row>
    <row r="201" spans="6:12" x14ac:dyDescent="0.25">
      <c r="F201" s="80"/>
      <c r="G201" s="80"/>
      <c r="H201" s="80"/>
      <c r="I201" s="79"/>
      <c r="J201" s="79"/>
      <c r="K201" s="79"/>
      <c r="L201" s="79"/>
    </row>
    <row r="202" spans="6:12" x14ac:dyDescent="0.25">
      <c r="F202" s="80"/>
      <c r="G202" s="80"/>
      <c r="H202" s="80"/>
      <c r="I202" s="79"/>
      <c r="J202" s="79"/>
      <c r="K202" s="79"/>
      <c r="L202" s="79"/>
    </row>
    <row r="203" spans="6:12" x14ac:dyDescent="0.25">
      <c r="F203" s="80"/>
      <c r="G203" s="80"/>
      <c r="H203" s="80"/>
      <c r="I203" s="79"/>
      <c r="J203" s="79"/>
      <c r="K203" s="79"/>
      <c r="L203" s="79"/>
    </row>
    <row r="204" spans="6:12" x14ac:dyDescent="0.25">
      <c r="F204" s="80"/>
      <c r="G204" s="80"/>
      <c r="H204" s="80"/>
      <c r="I204" s="79"/>
      <c r="J204" s="79"/>
      <c r="K204" s="79"/>
      <c r="L204" s="79"/>
    </row>
    <row r="205" spans="6:12" x14ac:dyDescent="0.25">
      <c r="F205" s="80"/>
      <c r="G205" s="80"/>
      <c r="H205" s="80"/>
      <c r="I205" s="79"/>
      <c r="J205" s="79"/>
      <c r="K205" s="79"/>
      <c r="L205" s="79"/>
    </row>
    <row r="206" spans="6:12" x14ac:dyDescent="0.25">
      <c r="F206" s="80"/>
      <c r="G206" s="80"/>
      <c r="H206" s="80"/>
      <c r="I206" s="79"/>
      <c r="J206" s="79"/>
      <c r="K206" s="79"/>
      <c r="L206" s="79"/>
    </row>
    <row r="207" spans="6:12" x14ac:dyDescent="0.25">
      <c r="F207" s="80"/>
      <c r="G207" s="80"/>
      <c r="H207" s="80"/>
      <c r="I207" s="79"/>
      <c r="J207" s="79"/>
      <c r="K207" s="79"/>
      <c r="L207" s="79"/>
    </row>
    <row r="208" spans="6:12" x14ac:dyDescent="0.25">
      <c r="F208" s="80"/>
      <c r="G208" s="80"/>
      <c r="H208" s="80"/>
      <c r="I208" s="79"/>
      <c r="J208" s="79"/>
      <c r="K208" s="79"/>
      <c r="L208" s="79"/>
    </row>
    <row r="209" spans="6:12" x14ac:dyDescent="0.25">
      <c r="F209" s="80"/>
      <c r="G209" s="80"/>
      <c r="H209" s="80"/>
      <c r="I209" s="79"/>
      <c r="J209" s="79"/>
      <c r="K209" s="79"/>
      <c r="L209" s="79"/>
    </row>
    <row r="210" spans="6:12" x14ac:dyDescent="0.25">
      <c r="F210" s="80"/>
      <c r="G210" s="80"/>
      <c r="H210" s="80"/>
      <c r="I210" s="79"/>
      <c r="J210" s="79"/>
      <c r="K210" s="79"/>
      <c r="L210" s="79"/>
    </row>
    <row r="211" spans="6:12" x14ac:dyDescent="0.25">
      <c r="F211" s="80"/>
      <c r="G211" s="80"/>
      <c r="H211" s="80"/>
      <c r="I211" s="79"/>
      <c r="J211" s="79"/>
      <c r="K211" s="79"/>
      <c r="L211" s="79"/>
    </row>
    <row r="212" spans="6:12" x14ac:dyDescent="0.25">
      <c r="F212" s="80"/>
      <c r="G212" s="80"/>
      <c r="H212" s="80"/>
      <c r="I212" s="79"/>
      <c r="J212" s="79"/>
      <c r="K212" s="79"/>
      <c r="L212" s="79"/>
    </row>
    <row r="213" spans="6:12" x14ac:dyDescent="0.25">
      <c r="F213" s="80"/>
      <c r="G213" s="80"/>
      <c r="H213" s="80"/>
      <c r="I213" s="79"/>
      <c r="J213" s="79"/>
      <c r="K213" s="79"/>
      <c r="L213" s="79"/>
    </row>
    <row r="214" spans="6:12" x14ac:dyDescent="0.25">
      <c r="F214" s="80"/>
      <c r="G214" s="80"/>
      <c r="H214" s="80"/>
      <c r="I214" s="79"/>
      <c r="J214" s="79"/>
      <c r="K214" s="79"/>
      <c r="L214" s="79"/>
    </row>
    <row r="215" spans="6:12" x14ac:dyDescent="0.25">
      <c r="F215" s="80"/>
      <c r="G215" s="80"/>
      <c r="H215" s="80"/>
      <c r="I215" s="79"/>
      <c r="J215" s="79"/>
      <c r="K215" s="79"/>
      <c r="L215" s="79"/>
    </row>
    <row r="216" spans="6:12" x14ac:dyDescent="0.25">
      <c r="F216" s="80"/>
      <c r="G216" s="80"/>
      <c r="H216" s="80"/>
      <c r="I216" s="79"/>
      <c r="J216" s="79"/>
      <c r="K216" s="79"/>
      <c r="L216" s="79"/>
    </row>
    <row r="217" spans="6:12" x14ac:dyDescent="0.25">
      <c r="F217" s="80"/>
      <c r="G217" s="80"/>
      <c r="H217" s="80"/>
      <c r="I217" s="79"/>
      <c r="J217" s="79"/>
      <c r="K217" s="79"/>
      <c r="L217" s="79"/>
    </row>
    <row r="218" spans="6:12" x14ac:dyDescent="0.25">
      <c r="F218" s="80"/>
      <c r="G218" s="80"/>
      <c r="H218" s="80"/>
      <c r="I218" s="79"/>
      <c r="J218" s="79"/>
      <c r="K218" s="79"/>
      <c r="L218" s="79"/>
    </row>
    <row r="219" spans="6:12" x14ac:dyDescent="0.25">
      <c r="F219" s="80"/>
      <c r="G219" s="80"/>
      <c r="H219" s="80"/>
      <c r="I219" s="79"/>
      <c r="J219" s="79"/>
      <c r="K219" s="79"/>
      <c r="L219" s="79"/>
    </row>
    <row r="220" spans="6:12" x14ac:dyDescent="0.25">
      <c r="F220" s="80"/>
      <c r="G220" s="80"/>
      <c r="H220" s="80"/>
      <c r="I220" s="79"/>
      <c r="J220" s="79"/>
      <c r="K220" s="79"/>
      <c r="L220" s="79"/>
    </row>
    <row r="221" spans="6:12" x14ac:dyDescent="0.25">
      <c r="F221" s="80"/>
      <c r="G221" s="80"/>
      <c r="H221" s="80"/>
      <c r="I221" s="79"/>
      <c r="J221" s="79"/>
      <c r="K221" s="79"/>
      <c r="L221" s="79"/>
    </row>
    <row r="222" spans="6:12" x14ac:dyDescent="0.25">
      <c r="F222" s="80"/>
      <c r="G222" s="80"/>
      <c r="H222" s="80"/>
      <c r="I222" s="79"/>
      <c r="J222" s="79"/>
      <c r="K222" s="79"/>
      <c r="L222" s="79"/>
    </row>
    <row r="223" spans="6:12" x14ac:dyDescent="0.25">
      <c r="F223" s="80"/>
      <c r="G223" s="80"/>
      <c r="H223" s="80"/>
      <c r="I223" s="79"/>
      <c r="J223" s="79"/>
      <c r="K223" s="79"/>
      <c r="L223" s="79"/>
    </row>
    <row r="224" spans="6:12" x14ac:dyDescent="0.25">
      <c r="F224" s="80"/>
      <c r="G224" s="80"/>
      <c r="H224" s="80"/>
      <c r="I224" s="79"/>
      <c r="J224" s="79"/>
      <c r="K224" s="79"/>
      <c r="L224" s="79"/>
    </row>
    <row r="225" spans="6:12" x14ac:dyDescent="0.25">
      <c r="F225" s="80"/>
      <c r="G225" s="80"/>
      <c r="H225" s="80"/>
      <c r="I225" s="79"/>
      <c r="J225" s="79"/>
      <c r="K225" s="79"/>
      <c r="L225" s="79"/>
    </row>
  </sheetData>
  <mergeCells count="3">
    <mergeCell ref="E2:I2"/>
    <mergeCell ref="E56:I56"/>
    <mergeCell ref="A1:L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workbookViewId="0">
      <selection activeCell="M4" sqref="M4"/>
    </sheetView>
  </sheetViews>
  <sheetFormatPr defaultRowHeight="15" x14ac:dyDescent="0.25"/>
  <cols>
    <col min="1" max="1" width="10.5703125" customWidth="1"/>
    <col min="2" max="2" width="20.85546875" style="294" customWidth="1"/>
    <col min="3" max="3" width="9.42578125" customWidth="1"/>
    <col min="4" max="4" width="11.140625" customWidth="1"/>
    <col min="5" max="5" width="9.7109375" customWidth="1"/>
    <col min="6" max="6" width="12.28515625" customWidth="1"/>
    <col min="7" max="7" width="12.42578125" customWidth="1"/>
    <col min="8" max="8" width="10.7109375" customWidth="1"/>
    <col min="9" max="9" width="10.85546875" customWidth="1"/>
    <col min="11" max="11" width="5.140625" customWidth="1"/>
    <col min="12" max="12" width="18.42578125" customWidth="1"/>
    <col min="13" max="13" width="12.28515625" customWidth="1"/>
    <col min="14" max="14" width="4.42578125" customWidth="1"/>
    <col min="15" max="15" width="23.140625" customWidth="1"/>
    <col min="19" max="19" width="16" customWidth="1"/>
  </cols>
  <sheetData>
    <row r="1" spans="1:21" ht="16.5" thickBot="1" x14ac:dyDescent="0.3">
      <c r="A1" s="309" t="s">
        <v>484</v>
      </c>
      <c r="B1" s="310"/>
      <c r="C1" s="311"/>
      <c r="D1" s="311"/>
      <c r="E1" s="311"/>
      <c r="F1" s="311"/>
      <c r="G1" s="311"/>
      <c r="H1" s="311"/>
      <c r="I1" s="316"/>
      <c r="J1" s="312"/>
      <c r="L1" s="95" t="s">
        <v>409</v>
      </c>
      <c r="M1" s="256">
        <f>'Budgeted Staff Costs'!G5</f>
        <v>0</v>
      </c>
      <c r="N1" s="321"/>
    </row>
    <row r="2" spans="1:21" ht="30" x14ac:dyDescent="0.25">
      <c r="A2" s="313" t="s">
        <v>203</v>
      </c>
      <c r="B2" s="314"/>
      <c r="C2" s="315"/>
      <c r="D2" s="315"/>
      <c r="E2" s="315"/>
      <c r="F2" s="287" t="s">
        <v>466</v>
      </c>
      <c r="G2" s="287" t="s">
        <v>60</v>
      </c>
      <c r="I2" s="100"/>
      <c r="J2" s="82"/>
    </row>
    <row r="3" spans="1:21" ht="60" x14ac:dyDescent="0.25">
      <c r="A3" s="2"/>
      <c r="B3" s="293" t="s">
        <v>201</v>
      </c>
      <c r="C3" s="258" t="s">
        <v>53</v>
      </c>
      <c r="D3" s="258" t="s">
        <v>170</v>
      </c>
      <c r="E3" s="292" t="s">
        <v>169</v>
      </c>
      <c r="F3" s="258" t="s">
        <v>468</v>
      </c>
      <c r="G3" s="258" t="s">
        <v>467</v>
      </c>
      <c r="H3" s="258" t="s">
        <v>465</v>
      </c>
      <c r="I3" s="99"/>
      <c r="J3" s="82"/>
      <c r="L3" s="262" t="s">
        <v>414</v>
      </c>
      <c r="M3" s="258" t="s">
        <v>462</v>
      </c>
      <c r="N3" s="322"/>
      <c r="O3" s="258" t="s">
        <v>469</v>
      </c>
      <c r="P3" s="258" t="s">
        <v>474</v>
      </c>
    </row>
    <row r="4" spans="1:21" x14ac:dyDescent="0.25">
      <c r="B4" s="294" t="s">
        <v>173</v>
      </c>
      <c r="C4" s="87">
        <v>177212.35</v>
      </c>
      <c r="D4" s="87">
        <f>C4*(0.2438-0.17)</f>
        <v>13078.271429999997</v>
      </c>
      <c r="E4" s="87">
        <f>C4*0.17</f>
        <v>30126.099500000004</v>
      </c>
      <c r="F4" s="87">
        <f>C4*1.1818</f>
        <v>209429.55523</v>
      </c>
      <c r="G4" s="87">
        <f>C4*1.2568</f>
        <v>222720.48147999999</v>
      </c>
      <c r="H4" s="86">
        <f>G4/52.178571/37.5</f>
        <v>113.82475076725781</v>
      </c>
      <c r="I4" s="98"/>
      <c r="L4" s="248" t="s">
        <v>278</v>
      </c>
      <c r="M4" s="87">
        <v>177212</v>
      </c>
      <c r="N4" s="249"/>
      <c r="O4" s="250" t="s">
        <v>470</v>
      </c>
      <c r="P4" s="323">
        <v>25.68</v>
      </c>
      <c r="S4" t="s">
        <v>476</v>
      </c>
    </row>
    <row r="5" spans="1:21" x14ac:dyDescent="0.25">
      <c r="B5" s="294" t="s">
        <v>174</v>
      </c>
      <c r="C5" s="87">
        <v>151633.44</v>
      </c>
      <c r="D5" s="87">
        <f t="shared" ref="D5:D28" si="0">C5*(0.2438-0.17)</f>
        <v>11190.547871999997</v>
      </c>
      <c r="E5" s="87">
        <f t="shared" ref="E5:E27" si="1">C5*0.17</f>
        <v>25777.684800000003</v>
      </c>
      <c r="F5" s="87">
        <f t="shared" ref="F5:F28" si="2">C5*1.1818</f>
        <v>179200.39939199999</v>
      </c>
      <c r="G5" s="87">
        <f t="shared" ref="G5:G28" si="3">C5*1.2568</f>
        <v>190572.90739199999</v>
      </c>
      <c r="H5" s="86">
        <f t="shared" ref="H5:H28" si="4">G5/52.178571/37.5</f>
        <v>97.395235241685711</v>
      </c>
      <c r="I5" s="98"/>
      <c r="L5" s="248" t="s">
        <v>277</v>
      </c>
      <c r="M5" s="87">
        <v>151633</v>
      </c>
      <c r="N5" s="249"/>
      <c r="O5" s="250" t="s">
        <v>471</v>
      </c>
      <c r="P5" s="323">
        <v>17</v>
      </c>
      <c r="S5" t="s">
        <v>197</v>
      </c>
    </row>
    <row r="6" spans="1:21" x14ac:dyDescent="0.25">
      <c r="B6" s="294" t="s">
        <v>175</v>
      </c>
      <c r="C6" s="87">
        <v>150878.66</v>
      </c>
      <c r="D6" s="87">
        <f t="shared" si="0"/>
        <v>11134.845107999996</v>
      </c>
      <c r="E6" s="87">
        <f t="shared" si="1"/>
        <v>25649.372200000002</v>
      </c>
      <c r="F6" s="87">
        <f t="shared" si="2"/>
        <v>178308.40038800001</v>
      </c>
      <c r="G6" s="87">
        <f t="shared" si="3"/>
        <v>189624.29988799998</v>
      </c>
      <c r="H6" s="86">
        <f t="shared" si="4"/>
        <v>96.910434688089353</v>
      </c>
      <c r="I6" s="98"/>
      <c r="L6" s="248" t="s">
        <v>279</v>
      </c>
      <c r="M6" s="87">
        <v>150878</v>
      </c>
      <c r="N6" s="249"/>
      <c r="O6" s="250"/>
      <c r="P6" s="323">
        <f>P4-P5</f>
        <v>8.68</v>
      </c>
      <c r="S6" t="s">
        <v>477</v>
      </c>
      <c r="T6" s="84">
        <v>68722.289999999994</v>
      </c>
    </row>
    <row r="7" spans="1:21" x14ac:dyDescent="0.25">
      <c r="B7" s="294" t="s">
        <v>176</v>
      </c>
      <c r="C7" s="87">
        <v>146227.42000000001</v>
      </c>
      <c r="D7" s="87">
        <f t="shared" si="0"/>
        <v>10791.583595999997</v>
      </c>
      <c r="E7" s="87">
        <f t="shared" si="1"/>
        <v>24858.661400000005</v>
      </c>
      <c r="F7" s="87">
        <f t="shared" si="2"/>
        <v>172811.56495600002</v>
      </c>
      <c r="G7" s="87">
        <f t="shared" si="3"/>
        <v>183778.62145599999</v>
      </c>
      <c r="H7" s="86">
        <f t="shared" si="4"/>
        <v>93.92291020822833</v>
      </c>
      <c r="L7" s="248" t="s">
        <v>280</v>
      </c>
      <c r="M7" s="87">
        <v>146227</v>
      </c>
      <c r="N7" s="249"/>
      <c r="O7" s="250" t="s">
        <v>472</v>
      </c>
      <c r="P7" s="324">
        <v>9.5</v>
      </c>
      <c r="S7" t="s">
        <v>478</v>
      </c>
      <c r="T7" s="84">
        <v>893.39</v>
      </c>
      <c r="U7" s="170">
        <f>T7/$T$6</f>
        <v>1.300000334680349E-2</v>
      </c>
    </row>
    <row r="8" spans="1:21" x14ac:dyDescent="0.25">
      <c r="B8" s="294" t="s">
        <v>177</v>
      </c>
      <c r="C8" s="87">
        <v>141579.65</v>
      </c>
      <c r="D8" s="87">
        <f t="shared" si="0"/>
        <v>10448.578169999997</v>
      </c>
      <c r="E8" s="87">
        <f t="shared" si="1"/>
        <v>24068.540499999999</v>
      </c>
      <c r="F8" s="87">
        <f t="shared" si="2"/>
        <v>167318.83036999998</v>
      </c>
      <c r="G8" s="87">
        <f t="shared" si="3"/>
        <v>177937.30411999999</v>
      </c>
      <c r="H8" s="86">
        <f t="shared" si="4"/>
        <v>90.937614534007324</v>
      </c>
      <c r="L8" s="248" t="s">
        <v>281</v>
      </c>
      <c r="M8" s="87">
        <v>141579.65</v>
      </c>
      <c r="N8" s="249"/>
      <c r="O8" s="250" t="s">
        <v>473</v>
      </c>
      <c r="P8" s="324">
        <f>P6+P7</f>
        <v>18.18</v>
      </c>
      <c r="S8" t="s">
        <v>479</v>
      </c>
      <c r="T8" s="84">
        <v>687.22</v>
      </c>
      <c r="U8" s="170">
        <f t="shared" ref="U8:U13" si="5">T8/$T$6</f>
        <v>9.9999578011733901E-3</v>
      </c>
    </row>
    <row r="9" spans="1:21" x14ac:dyDescent="0.25">
      <c r="B9" s="294" t="s">
        <v>178</v>
      </c>
      <c r="C9" s="87">
        <v>131872.76999999999</v>
      </c>
      <c r="D9" s="87">
        <f t="shared" si="0"/>
        <v>9732.210425999996</v>
      </c>
      <c r="E9" s="87">
        <f t="shared" si="1"/>
        <v>22418.370899999998</v>
      </c>
      <c r="F9" s="87">
        <f t="shared" si="2"/>
        <v>155847.23958599998</v>
      </c>
      <c r="G9" s="87">
        <f t="shared" si="3"/>
        <v>165737.69733599998</v>
      </c>
      <c r="H9" s="86">
        <f t="shared" si="4"/>
        <v>84.702816582692535</v>
      </c>
      <c r="L9" s="248" t="s">
        <v>282</v>
      </c>
      <c r="M9" s="87">
        <v>131872.76999999999</v>
      </c>
      <c r="N9" s="249"/>
      <c r="O9" s="250"/>
      <c r="S9" t="s">
        <v>480</v>
      </c>
      <c r="T9" s="84">
        <v>3745.36</v>
      </c>
      <c r="U9" s="170">
        <f t="shared" si="5"/>
        <v>5.4499930080909711E-2</v>
      </c>
    </row>
    <row r="10" spans="1:21" x14ac:dyDescent="0.25">
      <c r="B10" s="294" t="s">
        <v>179</v>
      </c>
      <c r="C10" s="87">
        <v>131306.26999999999</v>
      </c>
      <c r="D10" s="87">
        <f t="shared" si="0"/>
        <v>9690.4027259999966</v>
      </c>
      <c r="E10" s="87">
        <f t="shared" si="1"/>
        <v>22322.065900000001</v>
      </c>
      <c r="F10" s="87">
        <f t="shared" si="2"/>
        <v>155177.74988599998</v>
      </c>
      <c r="G10" s="87">
        <f t="shared" si="3"/>
        <v>165025.72013599999</v>
      </c>
      <c r="H10" s="86">
        <f t="shared" si="4"/>
        <v>84.338949610048402</v>
      </c>
      <c r="I10" s="98"/>
      <c r="L10" s="248" t="s">
        <v>283</v>
      </c>
      <c r="M10" s="87">
        <v>131306.26999999999</v>
      </c>
      <c r="N10" s="249"/>
      <c r="O10" s="250"/>
      <c r="S10" t="s">
        <v>169</v>
      </c>
      <c r="T10" s="84">
        <v>11682.79</v>
      </c>
      <c r="U10" s="170">
        <f t="shared" si="5"/>
        <v>0.1700000101859237</v>
      </c>
    </row>
    <row r="11" spans="1:21" x14ac:dyDescent="0.25">
      <c r="B11" s="294" t="s">
        <v>180</v>
      </c>
      <c r="C11" s="87">
        <v>127816.03</v>
      </c>
      <c r="D11" s="87">
        <f t="shared" si="0"/>
        <v>9432.8230139999978</v>
      </c>
      <c r="E11" s="87">
        <f t="shared" si="1"/>
        <v>21728.7251</v>
      </c>
      <c r="F11" s="87">
        <f t="shared" si="2"/>
        <v>151052.98425399998</v>
      </c>
      <c r="G11" s="87">
        <f t="shared" si="3"/>
        <v>160639.18650399998</v>
      </c>
      <c r="H11" s="86">
        <f t="shared" si="4"/>
        <v>82.097143674300057</v>
      </c>
      <c r="I11" s="98"/>
      <c r="L11" s="248" t="s">
        <v>284</v>
      </c>
      <c r="M11" s="87">
        <v>127816.03</v>
      </c>
      <c r="N11" s="249"/>
      <c r="O11" s="250"/>
      <c r="S11" t="s">
        <v>481</v>
      </c>
      <c r="T11" s="84">
        <v>636.71</v>
      </c>
      <c r="U11" s="170">
        <f t="shared" si="5"/>
        <v>9.2649706521712259E-3</v>
      </c>
    </row>
    <row r="12" spans="1:21" x14ac:dyDescent="0.25">
      <c r="B12" s="294" t="s">
        <v>181</v>
      </c>
      <c r="C12" s="87">
        <v>124331.44</v>
      </c>
      <c r="D12" s="87">
        <f t="shared" si="0"/>
        <v>9175.6602719999973</v>
      </c>
      <c r="E12" s="87">
        <f t="shared" si="1"/>
        <v>21136.344800000003</v>
      </c>
      <c r="F12" s="87">
        <f t="shared" si="2"/>
        <v>146934.895792</v>
      </c>
      <c r="G12" s="87">
        <f t="shared" si="3"/>
        <v>156259.753792</v>
      </c>
      <c r="H12" s="86">
        <f t="shared" si="4"/>
        <v>79.858966773671654</v>
      </c>
      <c r="I12" s="98"/>
      <c r="L12" s="248" t="s">
        <v>285</v>
      </c>
      <c r="M12" s="87">
        <v>124331.44</v>
      </c>
      <c r="N12" s="249"/>
      <c r="O12" s="250"/>
      <c r="S12" t="s">
        <v>482</v>
      </c>
      <c r="T12" s="84">
        <f>SUM(T7:T11)</f>
        <v>17645.47</v>
      </c>
      <c r="U12" s="170">
        <f t="shared" si="5"/>
        <v>0.25676487206698151</v>
      </c>
    </row>
    <row r="13" spans="1:21" x14ac:dyDescent="0.25">
      <c r="B13" s="294" t="s">
        <v>182</v>
      </c>
      <c r="C13" s="87">
        <v>120843.29</v>
      </c>
      <c r="D13" s="87">
        <f t="shared" si="0"/>
        <v>8918.2348019999972</v>
      </c>
      <c r="E13" s="87">
        <f t="shared" si="1"/>
        <v>20543.3593</v>
      </c>
      <c r="F13" s="87">
        <f t="shared" si="2"/>
        <v>142812.60012199997</v>
      </c>
      <c r="G13" s="87">
        <f t="shared" si="3"/>
        <v>151875.84687199999</v>
      </c>
      <c r="H13" s="86">
        <f t="shared" si="4"/>
        <v>77.618503259764111</v>
      </c>
      <c r="I13" s="98"/>
      <c r="L13" s="248" t="s">
        <v>286</v>
      </c>
      <c r="M13" s="87">
        <v>120843.29</v>
      </c>
      <c r="N13" s="249"/>
      <c r="O13" s="250"/>
      <c r="S13" t="s">
        <v>483</v>
      </c>
      <c r="T13" s="84">
        <f>T6+T12</f>
        <v>86367.76</v>
      </c>
      <c r="U13" s="170">
        <f t="shared" si="5"/>
        <v>1.2567648720669815</v>
      </c>
    </row>
    <row r="14" spans="1:21" x14ac:dyDescent="0.25">
      <c r="B14" s="294" t="s">
        <v>183</v>
      </c>
      <c r="C14" s="87">
        <v>117359.76</v>
      </c>
      <c r="D14" s="87">
        <f t="shared" si="0"/>
        <v>8661.1502879999971</v>
      </c>
      <c r="E14" s="87">
        <f t="shared" si="1"/>
        <v>19951.159200000002</v>
      </c>
      <c r="F14" s="87">
        <f t="shared" si="2"/>
        <v>138695.764368</v>
      </c>
      <c r="G14" s="87">
        <f t="shared" si="3"/>
        <v>147497.74636799999</v>
      </c>
      <c r="H14" s="86">
        <f t="shared" si="4"/>
        <v>75.381007204662609</v>
      </c>
      <c r="I14" s="98"/>
      <c r="L14" s="248" t="s">
        <v>287</v>
      </c>
      <c r="M14" s="87">
        <v>117359.76</v>
      </c>
      <c r="N14" s="249"/>
      <c r="O14" s="250"/>
      <c r="T14" s="84"/>
    </row>
    <row r="15" spans="1:21" x14ac:dyDescent="0.25">
      <c r="B15" s="294" t="s">
        <v>184</v>
      </c>
      <c r="C15" s="87">
        <v>110950.19</v>
      </c>
      <c r="D15" s="87">
        <f t="shared" si="0"/>
        <v>8188.1240219999972</v>
      </c>
      <c r="E15" s="87">
        <f t="shared" si="1"/>
        <v>18861.532300000003</v>
      </c>
      <c r="F15" s="87">
        <f t="shared" si="2"/>
        <v>131120.934542</v>
      </c>
      <c r="G15" s="87">
        <f t="shared" si="3"/>
        <v>139442.19879199998</v>
      </c>
      <c r="H15" s="86">
        <f t="shared" si="4"/>
        <v>71.264094880124887</v>
      </c>
      <c r="I15" s="98"/>
      <c r="L15" s="248" t="s">
        <v>288</v>
      </c>
      <c r="M15" s="87">
        <v>110950.19</v>
      </c>
      <c r="N15" s="249"/>
      <c r="O15" s="250"/>
      <c r="S15" t="s">
        <v>185</v>
      </c>
    </row>
    <row r="16" spans="1:21" x14ac:dyDescent="0.25">
      <c r="B16" s="294" t="s">
        <v>185</v>
      </c>
      <c r="C16" s="87">
        <v>110383.32</v>
      </c>
      <c r="D16" s="87">
        <f t="shared" si="0"/>
        <v>8146.2890159999979</v>
      </c>
      <c r="E16" s="87">
        <f t="shared" si="1"/>
        <v>18765.164400000001</v>
      </c>
      <c r="F16" s="87">
        <f t="shared" si="2"/>
        <v>130451.007576</v>
      </c>
      <c r="G16" s="87">
        <f t="shared" si="3"/>
        <v>138729.75657599999</v>
      </c>
      <c r="H16" s="86">
        <f t="shared" si="4"/>
        <v>70.899990253853446</v>
      </c>
      <c r="I16" s="98"/>
      <c r="L16" s="248" t="s">
        <v>289</v>
      </c>
      <c r="M16" s="87">
        <v>110383.32</v>
      </c>
      <c r="N16" s="249"/>
      <c r="O16" s="250"/>
      <c r="S16" t="s">
        <v>477</v>
      </c>
      <c r="T16" s="84">
        <v>110382.02</v>
      </c>
    </row>
    <row r="17" spans="1:21" x14ac:dyDescent="0.25">
      <c r="B17" s="294" t="s">
        <v>186</v>
      </c>
      <c r="C17" s="87">
        <v>106891.5</v>
      </c>
      <c r="D17" s="87">
        <f>C17*(0.2438-0.17)</f>
        <v>7888.5926999999974</v>
      </c>
      <c r="E17" s="87">
        <f t="shared" si="1"/>
        <v>18171.555</v>
      </c>
      <c r="F17" s="87">
        <f t="shared" si="2"/>
        <v>126324.3747</v>
      </c>
      <c r="G17" s="87">
        <f t="shared" si="3"/>
        <v>134341.2372</v>
      </c>
      <c r="H17" s="86">
        <f t="shared" si="4"/>
        <v>68.657169472885727</v>
      </c>
      <c r="I17" s="98"/>
      <c r="L17" s="248" t="s">
        <v>290</v>
      </c>
      <c r="M17" s="87">
        <v>106891.5</v>
      </c>
      <c r="N17" s="249"/>
      <c r="O17" s="250"/>
      <c r="S17" t="s">
        <v>478</v>
      </c>
      <c r="T17" s="84">
        <v>1434.97</v>
      </c>
      <c r="U17" s="170">
        <f>T17/$T$16</f>
        <v>1.3000033882329749E-2</v>
      </c>
    </row>
    <row r="18" spans="1:21" x14ac:dyDescent="0.25">
      <c r="B18" s="294" t="s">
        <v>187</v>
      </c>
      <c r="C18" s="87">
        <v>103408.35</v>
      </c>
      <c r="D18" s="87">
        <f t="shared" si="0"/>
        <v>7631.5362299999979</v>
      </c>
      <c r="E18" s="87">
        <f t="shared" si="1"/>
        <v>17579.419500000004</v>
      </c>
      <c r="F18" s="87">
        <f t="shared" si="2"/>
        <v>122207.98803000001</v>
      </c>
      <c r="G18" s="87">
        <f t="shared" si="3"/>
        <v>129963.61427999999</v>
      </c>
      <c r="H18" s="86">
        <f t="shared" si="4"/>
        <v>66.419917494482561</v>
      </c>
      <c r="I18" s="98"/>
      <c r="L18" s="248" t="s">
        <v>291</v>
      </c>
      <c r="M18" s="87">
        <v>103408.35</v>
      </c>
      <c r="N18" s="249"/>
      <c r="O18" s="250"/>
      <c r="S18" t="s">
        <v>479</v>
      </c>
      <c r="T18" s="84">
        <v>1103.82</v>
      </c>
      <c r="U18" s="170">
        <f t="shared" ref="U18:U23" si="6">T18/$T$16</f>
        <v>9.9999981881107071E-3</v>
      </c>
    </row>
    <row r="19" spans="1:21" x14ac:dyDescent="0.25">
      <c r="B19" s="294" t="s">
        <v>188</v>
      </c>
      <c r="C19" s="87">
        <v>99916.800000000003</v>
      </c>
      <c r="D19" s="87">
        <f t="shared" si="0"/>
        <v>7373.8598399999983</v>
      </c>
      <c r="E19" s="87">
        <f t="shared" si="1"/>
        <v>16985.856000000003</v>
      </c>
      <c r="F19" s="87">
        <f t="shared" si="2"/>
        <v>118081.67423999999</v>
      </c>
      <c r="G19" s="87">
        <f t="shared" si="3"/>
        <v>125575.43424</v>
      </c>
      <c r="H19" s="86">
        <f t="shared" si="4"/>
        <v>64.177270136432071</v>
      </c>
      <c r="I19" s="98"/>
      <c r="L19" s="248" t="s">
        <v>292</v>
      </c>
      <c r="M19" s="87">
        <v>99916.800000000003</v>
      </c>
      <c r="N19" s="249"/>
      <c r="O19" s="250"/>
      <c r="S19" t="s">
        <v>480</v>
      </c>
      <c r="T19" s="84">
        <v>6015.82</v>
      </c>
      <c r="U19" s="170">
        <f t="shared" si="6"/>
        <v>5.4499999184649817E-2</v>
      </c>
    </row>
    <row r="20" spans="1:21" x14ac:dyDescent="0.25">
      <c r="B20" s="294" t="s">
        <v>189</v>
      </c>
      <c r="C20" s="87">
        <v>96430.88</v>
      </c>
      <c r="D20" s="87">
        <f t="shared" si="0"/>
        <v>7116.5989439999985</v>
      </c>
      <c r="E20" s="87">
        <f t="shared" si="1"/>
        <v>16393.249600000003</v>
      </c>
      <c r="F20" s="87">
        <f t="shared" si="2"/>
        <v>113962.013984</v>
      </c>
      <c r="G20" s="87">
        <f t="shared" si="3"/>
        <v>121194.329984</v>
      </c>
      <c r="H20" s="86">
        <f t="shared" si="4"/>
        <v>61.938238967359482</v>
      </c>
      <c r="I20" s="98"/>
      <c r="L20" s="248" t="s">
        <v>293</v>
      </c>
      <c r="M20" s="87">
        <v>96430.88</v>
      </c>
      <c r="N20" s="249"/>
      <c r="O20" s="250"/>
      <c r="S20" t="s">
        <v>169</v>
      </c>
      <c r="T20" s="84">
        <v>18764.939999999999</v>
      </c>
      <c r="U20" s="170">
        <f t="shared" si="6"/>
        <v>0.16999996919788202</v>
      </c>
    </row>
    <row r="21" spans="1:21" x14ac:dyDescent="0.25">
      <c r="B21" s="294" t="s">
        <v>190</v>
      </c>
      <c r="C21" s="87">
        <v>88856.39</v>
      </c>
      <c r="D21" s="87">
        <f t="shared" si="0"/>
        <v>6557.6015819999975</v>
      </c>
      <c r="E21" s="87">
        <f t="shared" si="1"/>
        <v>15105.586300000001</v>
      </c>
      <c r="F21" s="87">
        <f t="shared" si="2"/>
        <v>105010.48170199999</v>
      </c>
      <c r="G21" s="87">
        <f t="shared" si="3"/>
        <v>111674.71095199999</v>
      </c>
      <c r="H21" s="86">
        <f t="shared" si="4"/>
        <v>57.073090254873655</v>
      </c>
      <c r="I21" s="98"/>
      <c r="L21" s="248" t="s">
        <v>294</v>
      </c>
      <c r="M21" s="87">
        <v>88856.39</v>
      </c>
      <c r="N21" s="249"/>
      <c r="O21" s="250"/>
      <c r="S21" t="s">
        <v>481</v>
      </c>
      <c r="T21" s="84">
        <v>1022</v>
      </c>
      <c r="U21" s="170">
        <f t="shared" si="6"/>
        <v>9.2587542790030473E-3</v>
      </c>
    </row>
    <row r="22" spans="1:21" x14ac:dyDescent="0.25">
      <c r="B22" s="294" t="s">
        <v>191</v>
      </c>
      <c r="C22" s="87">
        <v>88366.32</v>
      </c>
      <c r="D22" s="87">
        <f t="shared" si="0"/>
        <v>6521.4344159999982</v>
      </c>
      <c r="E22" s="87">
        <f t="shared" si="1"/>
        <v>15022.274400000002</v>
      </c>
      <c r="F22" s="87">
        <f t="shared" si="2"/>
        <v>104431.316976</v>
      </c>
      <c r="G22" s="87">
        <f t="shared" si="3"/>
        <v>111058.790976</v>
      </c>
      <c r="H22" s="86">
        <f t="shared" si="4"/>
        <v>56.758314813949205</v>
      </c>
      <c r="I22" s="98"/>
      <c r="L22" s="248" t="s">
        <v>295</v>
      </c>
      <c r="M22" s="87">
        <v>88366.32</v>
      </c>
      <c r="N22" s="249"/>
      <c r="O22" s="250"/>
      <c r="S22" t="s">
        <v>482</v>
      </c>
      <c r="T22" s="84">
        <f>SUM(T17:T21)</f>
        <v>28341.55</v>
      </c>
      <c r="U22" s="170">
        <f t="shared" si="6"/>
        <v>0.25675875473197535</v>
      </c>
    </row>
    <row r="23" spans="1:21" x14ac:dyDescent="0.25">
      <c r="B23" s="294" t="s">
        <v>192</v>
      </c>
      <c r="C23" s="87">
        <v>85345.53</v>
      </c>
      <c r="D23" s="87">
        <f t="shared" si="0"/>
        <v>6298.5001139999977</v>
      </c>
      <c r="E23" s="87">
        <f t="shared" si="1"/>
        <v>14508.740100000001</v>
      </c>
      <c r="F23" s="87">
        <f t="shared" si="2"/>
        <v>100861.347354</v>
      </c>
      <c r="G23" s="87">
        <f t="shared" si="3"/>
        <v>107262.26210399999</v>
      </c>
      <c r="H23" s="86">
        <f t="shared" si="4"/>
        <v>54.818039946705319</v>
      </c>
      <c r="I23" s="98"/>
      <c r="L23" s="248" t="s">
        <v>296</v>
      </c>
      <c r="M23" s="87">
        <v>85345.53</v>
      </c>
      <c r="N23" s="249"/>
      <c r="O23" s="250"/>
      <c r="S23" t="s">
        <v>483</v>
      </c>
      <c r="T23" s="84">
        <f>T16+T22</f>
        <v>138723.57</v>
      </c>
      <c r="U23" s="170">
        <f t="shared" si="6"/>
        <v>1.2567587547319754</v>
      </c>
    </row>
    <row r="24" spans="1:21" x14ac:dyDescent="0.25">
      <c r="B24" s="294" t="s">
        <v>193</v>
      </c>
      <c r="C24" s="87">
        <v>82322.98</v>
      </c>
      <c r="D24" s="87">
        <f t="shared" si="0"/>
        <v>6075.4359239999976</v>
      </c>
      <c r="E24" s="87">
        <f t="shared" si="1"/>
        <v>13994.9066</v>
      </c>
      <c r="F24" s="87">
        <f t="shared" si="2"/>
        <v>97289.297763999988</v>
      </c>
      <c r="G24" s="87">
        <f t="shared" si="3"/>
        <v>103463.52126399998</v>
      </c>
      <c r="H24" s="86">
        <f t="shared" si="4"/>
        <v>52.876634618963905</v>
      </c>
      <c r="I24" s="98"/>
      <c r="L24" s="248" t="s">
        <v>297</v>
      </c>
      <c r="M24" s="87">
        <v>82322.98</v>
      </c>
      <c r="N24" s="249"/>
      <c r="O24" s="250"/>
      <c r="T24" s="84"/>
    </row>
    <row r="25" spans="1:21" x14ac:dyDescent="0.25">
      <c r="B25" s="294" t="s">
        <v>194</v>
      </c>
      <c r="C25" s="87">
        <v>79300.23</v>
      </c>
      <c r="D25" s="87">
        <f t="shared" si="0"/>
        <v>5852.3569739999975</v>
      </c>
      <c r="E25" s="87">
        <f t="shared" si="1"/>
        <v>13481.0391</v>
      </c>
      <c r="F25" s="87">
        <f t="shared" si="2"/>
        <v>93717.011813999998</v>
      </c>
      <c r="G25" s="87">
        <f t="shared" si="3"/>
        <v>99664.529063999988</v>
      </c>
      <c r="H25" s="86">
        <f t="shared" si="4"/>
        <v>50.93510082980233</v>
      </c>
      <c r="I25" s="98"/>
      <c r="L25" s="248" t="s">
        <v>298</v>
      </c>
      <c r="M25" s="87">
        <v>79300.23</v>
      </c>
      <c r="N25" s="249"/>
      <c r="O25" s="250"/>
      <c r="T25" s="84"/>
    </row>
    <row r="26" spans="1:21" x14ac:dyDescent="0.25">
      <c r="B26" s="294" t="s">
        <v>195</v>
      </c>
      <c r="C26" s="87">
        <v>76164.03</v>
      </c>
      <c r="D26" s="87">
        <f t="shared" si="0"/>
        <v>5620.905413999998</v>
      </c>
      <c r="E26" s="87">
        <f t="shared" si="1"/>
        <v>12947.885100000001</v>
      </c>
      <c r="F26" s="87">
        <f t="shared" si="2"/>
        <v>90010.650653999997</v>
      </c>
      <c r="G26" s="87">
        <f t="shared" si="3"/>
        <v>95722.952903999991</v>
      </c>
      <c r="H26" s="86">
        <f t="shared" si="4"/>
        <v>48.920697300046797</v>
      </c>
      <c r="I26" s="98"/>
      <c r="L26" s="248" t="s">
        <v>299</v>
      </c>
      <c r="M26" s="87">
        <v>76164.03</v>
      </c>
      <c r="N26" s="249"/>
      <c r="O26" s="250"/>
      <c r="T26" s="84"/>
    </row>
    <row r="27" spans="1:21" x14ac:dyDescent="0.25">
      <c r="B27" s="294" t="s">
        <v>196</v>
      </c>
      <c r="C27" s="87">
        <v>72441.53</v>
      </c>
      <c r="D27" s="87">
        <f t="shared" si="0"/>
        <v>5346.1849139999986</v>
      </c>
      <c r="E27" s="87">
        <f t="shared" si="1"/>
        <v>12315.060100000001</v>
      </c>
      <c r="F27" s="87">
        <f t="shared" si="2"/>
        <v>85611.400154000003</v>
      </c>
      <c r="G27" s="87">
        <f t="shared" si="3"/>
        <v>91044.514903999996</v>
      </c>
      <c r="H27" s="86">
        <f t="shared" si="4"/>
        <v>46.529709117049862</v>
      </c>
      <c r="I27" s="98"/>
      <c r="L27" s="248" t="s">
        <v>300</v>
      </c>
      <c r="M27" s="87">
        <v>72441.53</v>
      </c>
      <c r="N27" s="249"/>
      <c r="O27" s="250"/>
      <c r="T27" s="84"/>
    </row>
    <row r="28" spans="1:21" x14ac:dyDescent="0.25">
      <c r="B28" s="294" t="s">
        <v>197</v>
      </c>
      <c r="C28" s="87">
        <v>68723.09</v>
      </c>
      <c r="D28" s="87">
        <f t="shared" si="0"/>
        <v>5071.764041999998</v>
      </c>
      <c r="E28" s="87">
        <f>C28*0.17</f>
        <v>11682.925300000001</v>
      </c>
      <c r="F28" s="87">
        <f t="shared" si="2"/>
        <v>81216.947761999996</v>
      </c>
      <c r="G28" s="87">
        <f t="shared" si="3"/>
        <v>86371.179511999988</v>
      </c>
      <c r="H28" s="86">
        <f t="shared" si="4"/>
        <v>44.141328700882461</v>
      </c>
      <c r="I28" s="98"/>
      <c r="L28" s="248" t="s">
        <v>301</v>
      </c>
      <c r="M28" s="87">
        <v>68723.09</v>
      </c>
      <c r="N28" s="249"/>
      <c r="O28" s="250"/>
      <c r="T28" s="84"/>
    </row>
    <row r="29" spans="1:21" x14ac:dyDescent="0.25">
      <c r="T29" s="84"/>
    </row>
    <row r="30" spans="1:21" hidden="1" x14ac:dyDescent="0.25">
      <c r="A30" s="2" t="s">
        <v>198</v>
      </c>
      <c r="B30" s="295" t="s">
        <v>197</v>
      </c>
      <c r="C30" s="257">
        <v>35.23470443592619</v>
      </c>
      <c r="D30" s="257">
        <v>2.4235598404089309</v>
      </c>
      <c r="E30" s="257">
        <v>3.3043404949782698</v>
      </c>
      <c r="F30" s="257">
        <v>40.962604771313387</v>
      </c>
      <c r="G30" s="81"/>
      <c r="H30" s="81"/>
      <c r="I30" s="81"/>
    </row>
    <row r="31" spans="1:21" hidden="1" x14ac:dyDescent="0.25">
      <c r="A31" s="2"/>
      <c r="B31" s="295" t="s">
        <v>196</v>
      </c>
      <c r="C31" s="257">
        <v>37.155339538408761</v>
      </c>
      <c r="D31" s="257">
        <v>2.5556674932749024</v>
      </c>
      <c r="E31" s="257">
        <v>3.4844592854381355</v>
      </c>
      <c r="F31" s="257">
        <v>43.195466317121799</v>
      </c>
      <c r="G31" s="81"/>
      <c r="H31" s="81"/>
      <c r="I31" s="81"/>
    </row>
    <row r="32" spans="1:21" hidden="1" x14ac:dyDescent="0.25">
      <c r="A32" s="2"/>
      <c r="B32" s="295" t="s">
        <v>195</v>
      </c>
      <c r="C32" s="257">
        <v>39.078034678829106</v>
      </c>
      <c r="D32" s="257">
        <v>2.6879168423831339</v>
      </c>
      <c r="E32" s="257">
        <v>3.6647712680047029</v>
      </c>
      <c r="F32" s="257">
        <v>45.430722789216937</v>
      </c>
      <c r="G32" s="81"/>
      <c r="H32" s="81"/>
      <c r="I32" s="81"/>
    </row>
    <row r="33" spans="1:9" hidden="1" x14ac:dyDescent="0.25">
      <c r="A33" s="2"/>
      <c r="B33" s="295" t="s">
        <v>194</v>
      </c>
      <c r="C33" s="257">
        <v>40.698049787311156</v>
      </c>
      <c r="D33" s="257">
        <v>2.7993468549411382</v>
      </c>
      <c r="E33" s="257">
        <v>3.8166976602118057</v>
      </c>
      <c r="F33" s="257">
        <v>47.314094302464099</v>
      </c>
      <c r="G33" s="81"/>
      <c r="H33" s="81"/>
      <c r="I33" s="81"/>
    </row>
    <row r="34" spans="1:9" hidden="1" x14ac:dyDescent="0.25">
      <c r="A34" s="2"/>
      <c r="B34" s="295" t="s">
        <v>193</v>
      </c>
      <c r="C34" s="257">
        <v>42.259266374973841</v>
      </c>
      <c r="D34" s="257">
        <v>2.9067325102095158</v>
      </c>
      <c r="E34" s="257">
        <v>3.9631098772186721</v>
      </c>
      <c r="F34" s="257">
        <v>49.129108762402034</v>
      </c>
      <c r="G34" s="81"/>
      <c r="H34" s="81"/>
      <c r="I34" s="81"/>
    </row>
    <row r="35" spans="1:9" hidden="1" x14ac:dyDescent="0.25">
      <c r="A35" s="2"/>
      <c r="B35" s="295" t="s">
        <v>192</v>
      </c>
      <c r="C35" s="257">
        <v>43.82048296263654</v>
      </c>
      <c r="D35" s="257">
        <v>3.0141181654778944</v>
      </c>
      <c r="E35" s="257">
        <v>4.1095220942255386</v>
      </c>
      <c r="F35" s="257">
        <v>50.944123222339968</v>
      </c>
      <c r="G35" s="81"/>
      <c r="H35" s="81"/>
      <c r="I35" s="81"/>
    </row>
    <row r="36" spans="1:9" hidden="1" x14ac:dyDescent="0.25">
      <c r="A36" s="2"/>
      <c r="B36" s="295" t="s">
        <v>191</v>
      </c>
      <c r="C36" s="257">
        <v>45.380717180050603</v>
      </c>
      <c r="D36" s="257">
        <v>3.121436250062168</v>
      </c>
      <c r="E36" s="257">
        <v>4.255842183716493</v>
      </c>
      <c r="F36" s="257">
        <v>52.757995613829266</v>
      </c>
      <c r="G36" s="81"/>
      <c r="H36" s="81"/>
      <c r="I36" s="81"/>
    </row>
    <row r="37" spans="1:9" hidden="1" x14ac:dyDescent="0.25">
      <c r="A37" s="2"/>
      <c r="B37" s="295" t="s">
        <v>190</v>
      </c>
      <c r="C37" s="257">
        <v>45.634208371913623</v>
      </c>
      <c r="D37" s="257">
        <v>3.1388722150385102</v>
      </c>
      <c r="E37" s="257">
        <v>4.2796148028941694</v>
      </c>
      <c r="F37" s="257">
        <v>53.052695389846299</v>
      </c>
      <c r="G37" s="81"/>
      <c r="H37" s="81"/>
      <c r="I37" s="81"/>
    </row>
    <row r="38" spans="1:9" hidden="1" x14ac:dyDescent="0.25">
      <c r="A38" s="2"/>
      <c r="B38" s="295" t="s">
        <v>189</v>
      </c>
      <c r="C38" s="257">
        <v>49.546043439480364</v>
      </c>
      <c r="D38" s="257">
        <v>3.407941206075412</v>
      </c>
      <c r="E38" s="257">
        <v>4.6464700165356705</v>
      </c>
      <c r="F38" s="257">
        <v>57.600454662091444</v>
      </c>
      <c r="G38" s="81"/>
      <c r="H38" s="81"/>
      <c r="I38" s="81"/>
    </row>
    <row r="39" spans="1:9" hidden="1" x14ac:dyDescent="0.25">
      <c r="A39" s="2"/>
      <c r="B39" s="295" t="s">
        <v>188</v>
      </c>
      <c r="C39" s="257">
        <v>51.346640211047301</v>
      </c>
      <c r="D39" s="257">
        <v>3.5317922243882016</v>
      </c>
      <c r="E39" s="257">
        <v>4.8153315104141106</v>
      </c>
      <c r="F39" s="257">
        <v>59.693763945849604</v>
      </c>
      <c r="G39" s="81"/>
      <c r="H39" s="81"/>
      <c r="I39" s="81"/>
    </row>
    <row r="40" spans="1:9" hidden="1" x14ac:dyDescent="0.25">
      <c r="A40" s="2"/>
      <c r="B40" s="295" t="s">
        <v>187</v>
      </c>
      <c r="C40" s="257">
        <v>53.150088795919565</v>
      </c>
      <c r="D40" s="257">
        <v>3.6558393998792549</v>
      </c>
      <c r="E40" s="257">
        <v>4.9844604497654075</v>
      </c>
      <c r="F40" s="257">
        <v>61.790388645564228</v>
      </c>
      <c r="G40" s="81"/>
      <c r="H40" s="81"/>
      <c r="I40" s="81"/>
    </row>
    <row r="41" spans="1:9" hidden="1" x14ac:dyDescent="0.25">
      <c r="A41" s="2"/>
      <c r="B41" s="295" t="s">
        <v>186</v>
      </c>
      <c r="C41" s="257">
        <v>54.949197314192013</v>
      </c>
      <c r="D41" s="257">
        <v>3.7795880511940911</v>
      </c>
      <c r="E41" s="257">
        <v>5.153182373986418</v>
      </c>
      <c r="F41" s="257">
        <v>63.88196773937252</v>
      </c>
      <c r="G41" s="81"/>
      <c r="H41" s="81"/>
      <c r="I41" s="81"/>
    </row>
    <row r="42" spans="1:9" hidden="1" x14ac:dyDescent="0.25">
      <c r="A42" s="2"/>
      <c r="B42" s="295" t="s">
        <v>185</v>
      </c>
      <c r="C42" s="257">
        <v>56.7527558944264</v>
      </c>
      <c r="D42" s="257">
        <v>3.903642792530992</v>
      </c>
      <c r="E42" s="257">
        <v>5.322321628796157</v>
      </c>
      <c r="F42" s="257">
        <v>65.978720315753549</v>
      </c>
      <c r="G42" s="81"/>
      <c r="H42" s="81"/>
      <c r="I42" s="81"/>
    </row>
    <row r="43" spans="1:9" hidden="1" x14ac:dyDescent="0.25">
      <c r="A43" s="2"/>
      <c r="B43" s="295" t="s">
        <v>184</v>
      </c>
      <c r="C43" s="257">
        <v>57.045986118998776</v>
      </c>
      <c r="D43" s="257">
        <v>3.9238121399867096</v>
      </c>
      <c r="E43" s="257">
        <v>5.3498210081983046</v>
      </c>
      <c r="F43" s="257">
        <v>66.319619267183796</v>
      </c>
      <c r="G43" s="81"/>
      <c r="H43" s="81"/>
      <c r="I43" s="81"/>
    </row>
    <row r="44" spans="1:9" hidden="1" x14ac:dyDescent="0.25">
      <c r="A44" s="2"/>
      <c r="B44" s="295" t="s">
        <v>183</v>
      </c>
      <c r="C44" s="257">
        <v>60.356009475498084</v>
      </c>
      <c r="D44" s="257">
        <v>4.1514865253988331</v>
      </c>
      <c r="E44" s="257">
        <v>5.6602378086597414</v>
      </c>
      <c r="F44" s="257">
        <v>70.167733809556665</v>
      </c>
      <c r="G44" s="81"/>
      <c r="H44" s="81"/>
      <c r="I44" s="81"/>
    </row>
    <row r="45" spans="1:9" hidden="1" x14ac:dyDescent="0.25">
      <c r="A45" s="2"/>
      <c r="B45" s="295" t="s">
        <v>182</v>
      </c>
      <c r="C45" s="257">
        <v>62.155308588651643</v>
      </c>
      <c r="D45" s="257">
        <v>4.275248286461772</v>
      </c>
      <c r="E45" s="257">
        <v>5.8289776070305086</v>
      </c>
      <c r="F45" s="257">
        <v>72.25953448214392</v>
      </c>
      <c r="G45" s="81"/>
      <c r="H45" s="81"/>
      <c r="I45" s="81"/>
    </row>
    <row r="46" spans="1:9" hidden="1" x14ac:dyDescent="0.25">
      <c r="A46" s="2"/>
      <c r="B46" s="295" t="s">
        <v>181</v>
      </c>
      <c r="C46" s="257">
        <v>63.956902428388752</v>
      </c>
      <c r="D46" s="257">
        <v>4.3991678864304609</v>
      </c>
      <c r="E46" s="257">
        <v>5.9979326068084218</v>
      </c>
      <c r="F46" s="257">
        <v>74.354002921627639</v>
      </c>
      <c r="G46" s="81"/>
      <c r="H46" s="81"/>
      <c r="I46" s="81"/>
    </row>
    <row r="47" spans="1:9" hidden="1" x14ac:dyDescent="0.25">
      <c r="A47" s="2"/>
      <c r="B47" s="295" t="s">
        <v>180</v>
      </c>
      <c r="C47" s="257">
        <v>65.756707424588186</v>
      </c>
      <c r="D47" s="257">
        <v>4.5229644438072487</v>
      </c>
      <c r="E47" s="257">
        <v>6.1667198473207083</v>
      </c>
      <c r="F47" s="257">
        <v>76.446391715716132</v>
      </c>
      <c r="G47" s="81"/>
      <c r="H47" s="81"/>
      <c r="I47" s="81"/>
    </row>
    <row r="48" spans="1:9" hidden="1" x14ac:dyDescent="0.25">
      <c r="A48" s="2"/>
      <c r="B48" s="295" t="s">
        <v>179</v>
      </c>
      <c r="C48" s="257">
        <v>67.559474229455049</v>
      </c>
      <c r="D48" s="257">
        <v>4.6469647242081482</v>
      </c>
      <c r="E48" s="257">
        <v>6.3357848487642929</v>
      </c>
      <c r="F48" s="257">
        <v>78.542223802427486</v>
      </c>
      <c r="G48" s="81"/>
      <c r="H48" s="81"/>
      <c r="I48" s="81"/>
    </row>
    <row r="49" spans="1:15" hidden="1" x14ac:dyDescent="0.25">
      <c r="A49" s="2"/>
      <c r="B49" s="295" t="s">
        <v>178</v>
      </c>
      <c r="C49" s="257">
        <v>67.852513859146342</v>
      </c>
      <c r="D49" s="257">
        <v>4.6671209619157628</v>
      </c>
      <c r="E49" s="257">
        <v>6.3632663540166847</v>
      </c>
      <c r="F49" s="257">
        <v>78.882901175078786</v>
      </c>
      <c r="G49" s="81"/>
      <c r="H49" s="81"/>
      <c r="I49" s="81"/>
    </row>
    <row r="50" spans="1:15" hidden="1" x14ac:dyDescent="0.25">
      <c r="A50" s="2"/>
      <c r="B50" s="295" t="s">
        <v>177</v>
      </c>
      <c r="C50" s="257">
        <v>72.865630007608345</v>
      </c>
      <c r="D50" s="257">
        <v>5.0119397185144425</v>
      </c>
      <c r="E50" s="257">
        <v>6.8334006423719575</v>
      </c>
      <c r="F50" s="257">
        <v>84.710970368494742</v>
      </c>
      <c r="G50" s="81"/>
      <c r="H50" s="81"/>
      <c r="I50" s="81"/>
    </row>
    <row r="51" spans="1:15" hidden="1" x14ac:dyDescent="0.25">
      <c r="A51" s="2"/>
      <c r="B51" s="295" t="s">
        <v>176</v>
      </c>
      <c r="C51" s="257">
        <v>75.26619844302914</v>
      </c>
      <c r="D51" s="257">
        <v>5.1770587779014443</v>
      </c>
      <c r="E51" s="257">
        <v>7.0585279882406402</v>
      </c>
      <c r="F51" s="257">
        <v>87.501785209171217</v>
      </c>
      <c r="G51" s="81"/>
      <c r="H51" s="81"/>
      <c r="I51" s="81"/>
    </row>
    <row r="52" spans="1:15" hidden="1" x14ac:dyDescent="0.25">
      <c r="A52" s="2"/>
      <c r="B52" s="295" t="s">
        <v>175</v>
      </c>
      <c r="C52" s="257">
        <v>77.668636321506639</v>
      </c>
      <c r="D52" s="257">
        <v>5.3423064237826052</v>
      </c>
      <c r="E52" s="257">
        <v>7.2838306520662703</v>
      </c>
      <c r="F52" s="257">
        <v>90.294773397355527</v>
      </c>
      <c r="G52" s="81"/>
      <c r="H52" s="81"/>
      <c r="I52" s="81"/>
    </row>
    <row r="53" spans="1:15" hidden="1" x14ac:dyDescent="0.25">
      <c r="A53" s="2"/>
      <c r="B53" s="295" t="s">
        <v>174</v>
      </c>
      <c r="C53" s="257">
        <v>78.059069935440036</v>
      </c>
      <c r="D53" s="257">
        <v>5.3691617427706051</v>
      </c>
      <c r="E53" s="257">
        <v>7.3204458478448204</v>
      </c>
      <c r="F53" s="257">
        <v>90.748677526055445</v>
      </c>
      <c r="G53" s="81"/>
      <c r="H53" s="81"/>
      <c r="I53" s="81"/>
    </row>
    <row r="54" spans="1:15" hidden="1" x14ac:dyDescent="0.25">
      <c r="A54" s="2"/>
      <c r="B54" s="295" t="s">
        <v>173</v>
      </c>
      <c r="C54" s="257">
        <v>91.270762674086697</v>
      </c>
      <c r="D54" s="257">
        <v>6.2779057909414373</v>
      </c>
      <c r="E54" s="257">
        <v>8.5594496091196799</v>
      </c>
      <c r="F54" s="257">
        <v>106.10811807414781</v>
      </c>
      <c r="G54" s="81"/>
      <c r="H54" s="81"/>
      <c r="I54" s="81"/>
    </row>
    <row r="55" spans="1:15" x14ac:dyDescent="0.25">
      <c r="C55" s="81"/>
      <c r="D55" s="81"/>
      <c r="E55" s="81"/>
      <c r="F55" s="81"/>
      <c r="G55" s="81"/>
      <c r="H55" s="81"/>
      <c r="I55" s="81"/>
      <c r="O55" s="80"/>
    </row>
    <row r="56" spans="1:15" s="35" customFormat="1" ht="30" x14ac:dyDescent="0.25">
      <c r="A56" s="298" t="s">
        <v>172</v>
      </c>
      <c r="B56" s="299"/>
      <c r="C56" s="300"/>
      <c r="D56" s="300"/>
      <c r="E56" s="300"/>
      <c r="F56" s="258" t="s">
        <v>464</v>
      </c>
      <c r="G56" s="258" t="s">
        <v>60</v>
      </c>
      <c r="I56" s="258" t="s">
        <v>59</v>
      </c>
      <c r="J56" s="301"/>
    </row>
    <row r="57" spans="1:15" ht="64.5" customHeight="1" x14ac:dyDescent="0.25">
      <c r="A57" s="258" t="s">
        <v>463</v>
      </c>
      <c r="B57" s="293" t="s">
        <v>201</v>
      </c>
      <c r="C57" s="258" t="s">
        <v>53</v>
      </c>
      <c r="D57" s="258" t="s">
        <v>170</v>
      </c>
      <c r="E57" s="292" t="s">
        <v>169</v>
      </c>
      <c r="F57" s="258" t="s">
        <v>168</v>
      </c>
      <c r="G57" s="258" t="s">
        <v>167</v>
      </c>
      <c r="H57" s="258" t="s">
        <v>166</v>
      </c>
      <c r="I57" s="258" t="s">
        <v>165</v>
      </c>
      <c r="J57" s="258" t="s">
        <v>461</v>
      </c>
    </row>
    <row r="58" spans="1:15" x14ac:dyDescent="0.25">
      <c r="B58" s="294">
        <v>4.0999999999999996</v>
      </c>
      <c r="C58" s="87">
        <v>60892.25</v>
      </c>
      <c r="D58" s="87">
        <f>C58*(0.2438-0.17)</f>
        <v>4493.8480499999987</v>
      </c>
      <c r="E58" s="87">
        <f>C58*0.17</f>
        <v>10351.682500000001</v>
      </c>
      <c r="F58" s="87">
        <f>C58*1.1818</f>
        <v>71962.461049999998</v>
      </c>
      <c r="G58" s="87">
        <f>C58*1.2568</f>
        <v>76529.379799999995</v>
      </c>
      <c r="H58" s="86">
        <f>G58/52.178571/35</f>
        <v>41.905204889022905</v>
      </c>
      <c r="I58" s="86">
        <f>H58*1.267551</f>
        <v>53.116984362285876</v>
      </c>
      <c r="J58" s="307"/>
      <c r="K58" s="170"/>
    </row>
    <row r="59" spans="1:15" x14ac:dyDescent="0.25">
      <c r="B59" s="294">
        <v>4.2</v>
      </c>
      <c r="C59" s="87">
        <v>62747.16</v>
      </c>
      <c r="D59" s="87">
        <f t="shared" ref="D59:D84" si="7">C59*(0.2438-0.17)</f>
        <v>4630.7404079999988</v>
      </c>
      <c r="E59" s="87">
        <f t="shared" ref="E59:E84" si="8">C59*0.17</f>
        <v>10667.017200000002</v>
      </c>
      <c r="F59" s="87">
        <f t="shared" ref="F59:F109" si="9">C59*1.1818</f>
        <v>74154.593688000008</v>
      </c>
      <c r="G59" s="87">
        <f t="shared" ref="G59:G84" si="10">C59*1.2568</f>
        <v>78860.630688000005</v>
      </c>
      <c r="H59" s="86">
        <f t="shared" ref="H59:H87" si="11">G59/52.178571/35</f>
        <v>43.181728315250339</v>
      </c>
      <c r="I59" s="86">
        <f t="shared" ref="I59:I84" si="12">H59*1.267551</f>
        <v>54.735042907723887</v>
      </c>
      <c r="J59" s="2"/>
    </row>
    <row r="60" spans="1:15" x14ac:dyDescent="0.25">
      <c r="B60" s="294">
        <v>4.3</v>
      </c>
      <c r="C60" s="87">
        <v>64511.71</v>
      </c>
      <c r="D60" s="87">
        <f t="shared" si="7"/>
        <v>4760.9641979999988</v>
      </c>
      <c r="E60" s="87">
        <f t="shared" si="8"/>
        <v>10966.9907</v>
      </c>
      <c r="F60" s="87">
        <f t="shared" si="9"/>
        <v>76239.938878000001</v>
      </c>
      <c r="G60" s="87">
        <f t="shared" si="10"/>
        <v>81078.317127999995</v>
      </c>
      <c r="H60" s="86">
        <f t="shared" si="11"/>
        <v>44.396067238297611</v>
      </c>
      <c r="I60" s="86">
        <f t="shared" si="12"/>
        <v>56.274279423971379</v>
      </c>
      <c r="J60" s="2"/>
    </row>
    <row r="61" spans="1:15" x14ac:dyDescent="0.25">
      <c r="B61" s="294">
        <v>4.4000000000000004</v>
      </c>
      <c r="C61" s="87">
        <v>65152.98</v>
      </c>
      <c r="D61" s="87">
        <f t="shared" si="7"/>
        <v>4808.2899239999988</v>
      </c>
      <c r="E61" s="87">
        <f t="shared" si="8"/>
        <v>11076.006600000001</v>
      </c>
      <c r="F61" s="87">
        <f t="shared" si="9"/>
        <v>76997.791763999994</v>
      </c>
      <c r="G61" s="87">
        <f t="shared" si="10"/>
        <v>81884.265264000001</v>
      </c>
      <c r="H61" s="86">
        <f t="shared" si="11"/>
        <v>44.837380389629409</v>
      </c>
      <c r="I61" s="86">
        <f t="shared" si="12"/>
        <v>56.83366635025515</v>
      </c>
      <c r="J61" s="2"/>
    </row>
    <row r="62" spans="1:15" x14ac:dyDescent="0.25">
      <c r="B62" s="294">
        <v>5.0999999999999996</v>
      </c>
      <c r="C62" s="87">
        <v>68435.02</v>
      </c>
      <c r="D62" s="87">
        <f t="shared" si="7"/>
        <v>5050.5044759999992</v>
      </c>
      <c r="E62" s="87">
        <f t="shared" si="8"/>
        <v>11633.953400000002</v>
      </c>
      <c r="F62" s="87">
        <f t="shared" si="9"/>
        <v>80876.506636000006</v>
      </c>
      <c r="G62" s="87">
        <f t="shared" si="10"/>
        <v>86009.133136000004</v>
      </c>
      <c r="H62" s="86">
        <f t="shared" si="11"/>
        <v>47.096034958215213</v>
      </c>
      <c r="I62" s="86">
        <f t="shared" si="12"/>
        <v>59.696626207320655</v>
      </c>
      <c r="J62" s="2"/>
    </row>
    <row r="63" spans="1:15" x14ac:dyDescent="0.25">
      <c r="B63" s="294">
        <v>5.2</v>
      </c>
      <c r="C63" s="87">
        <v>70503.81</v>
      </c>
      <c r="D63" s="87">
        <f t="shared" si="7"/>
        <v>5203.181177999998</v>
      </c>
      <c r="E63" s="87">
        <f t="shared" si="8"/>
        <v>11985.647700000001</v>
      </c>
      <c r="F63" s="87">
        <f t="shared" si="9"/>
        <v>83321.402657999992</v>
      </c>
      <c r="G63" s="87">
        <f t="shared" si="10"/>
        <v>88609.188407999987</v>
      </c>
      <c r="H63" s="86">
        <f t="shared" si="11"/>
        <v>48.519747644515377</v>
      </c>
      <c r="I63" s="86">
        <f t="shared" si="12"/>
        <v>61.501254646553114</v>
      </c>
      <c r="J63" s="2"/>
    </row>
    <row r="64" spans="1:15" x14ac:dyDescent="0.25">
      <c r="B64" s="294">
        <v>5.3</v>
      </c>
      <c r="C64" s="87">
        <v>72574.210000000006</v>
      </c>
      <c r="D64" s="87">
        <f t="shared" si="7"/>
        <v>5355.9766979999986</v>
      </c>
      <c r="E64" s="87">
        <f t="shared" si="8"/>
        <v>12337.615700000002</v>
      </c>
      <c r="F64" s="87">
        <f t="shared" si="9"/>
        <v>85768.201377999998</v>
      </c>
      <c r="G64" s="87">
        <f t="shared" si="10"/>
        <v>91211.267128000007</v>
      </c>
      <c r="H64" s="86">
        <f t="shared" si="11"/>
        <v>49.944568310564563</v>
      </c>
      <c r="I64" s="86">
        <f t="shared" si="12"/>
        <v>63.307287506624426</v>
      </c>
      <c r="J64" s="2"/>
    </row>
    <row r="65" spans="2:10" x14ac:dyDescent="0.25">
      <c r="B65" s="294">
        <v>5.4</v>
      </c>
      <c r="C65" s="87">
        <v>73431.009999999995</v>
      </c>
      <c r="D65" s="87">
        <f t="shared" si="7"/>
        <v>5419.208537999998</v>
      </c>
      <c r="E65" s="87">
        <f t="shared" si="8"/>
        <v>12483.271699999999</v>
      </c>
      <c r="F65" s="87">
        <f t="shared" si="9"/>
        <v>86780.767617999998</v>
      </c>
      <c r="G65" s="87">
        <f t="shared" si="10"/>
        <v>92288.093367999987</v>
      </c>
      <c r="H65" s="86">
        <f t="shared" si="11"/>
        <v>50.534206229165278</v>
      </c>
      <c r="I65" s="86">
        <f t="shared" si="12"/>
        <v>64.054683639984688</v>
      </c>
      <c r="J65" s="2"/>
    </row>
    <row r="66" spans="2:10" x14ac:dyDescent="0.25">
      <c r="B66" s="294">
        <v>6.1</v>
      </c>
      <c r="C66" s="87">
        <v>76709.33</v>
      </c>
      <c r="D66" s="87">
        <f t="shared" si="7"/>
        <v>5661.1485539999985</v>
      </c>
      <c r="E66" s="87">
        <f t="shared" si="8"/>
        <v>13040.5861</v>
      </c>
      <c r="F66" s="87">
        <f t="shared" si="9"/>
        <v>90655.086194000003</v>
      </c>
      <c r="G66" s="87">
        <f t="shared" si="10"/>
        <v>96408.285944000003</v>
      </c>
      <c r="H66" s="86">
        <f t="shared" si="11"/>
        <v>52.790300745163321</v>
      </c>
      <c r="I66" s="86">
        <f t="shared" si="12"/>
        <v>66.914398499832515</v>
      </c>
      <c r="J66" s="2"/>
    </row>
    <row r="67" spans="2:10" x14ac:dyDescent="0.25">
      <c r="B67" s="294">
        <v>6.2</v>
      </c>
      <c r="C67" s="87">
        <v>78777.08</v>
      </c>
      <c r="D67" s="87">
        <f t="shared" si="7"/>
        <v>5813.7485039999983</v>
      </c>
      <c r="E67" s="87">
        <f t="shared" si="8"/>
        <v>13392.1036</v>
      </c>
      <c r="F67" s="87">
        <f t="shared" si="9"/>
        <v>93098.753144000002</v>
      </c>
      <c r="G67" s="87">
        <f t="shared" si="10"/>
        <v>99007.03414399999</v>
      </c>
      <c r="H67" s="86">
        <f t="shared" si="11"/>
        <v>54.213297717836802</v>
      </c>
      <c r="I67" s="86">
        <f t="shared" si="12"/>
        <v>68.718119735541762</v>
      </c>
      <c r="J67" s="2"/>
    </row>
    <row r="68" spans="2:10" x14ac:dyDescent="0.25">
      <c r="B68" s="294">
        <v>6.3</v>
      </c>
      <c r="C68" s="87">
        <v>80846.210000000006</v>
      </c>
      <c r="D68" s="87">
        <f>C68*(0.2438-0.17)</f>
        <v>5966.4502979999988</v>
      </c>
      <c r="E68" s="87">
        <f>C68*0.17</f>
        <v>13743.855700000002</v>
      </c>
      <c r="F68" s="87">
        <f>C68*1.1818</f>
        <v>95544.050977999999</v>
      </c>
      <c r="G68" s="87">
        <f>C68*1.2568</f>
        <v>101607.516728</v>
      </c>
      <c r="H68" s="86">
        <f t="shared" si="11"/>
        <v>55.637244387438017</v>
      </c>
      <c r="I68" s="86">
        <f t="shared" si="12"/>
        <v>70.523044760541453</v>
      </c>
      <c r="J68" s="2"/>
    </row>
    <row r="69" spans="2:10" x14ac:dyDescent="0.25">
      <c r="B69" s="294">
        <v>6.4</v>
      </c>
      <c r="C69" s="87">
        <v>81701.45</v>
      </c>
      <c r="D69" s="87">
        <f>C69*(0.2438-0.17)</f>
        <v>6029.5670099999979</v>
      </c>
      <c r="E69" s="87">
        <f>C69*0.17</f>
        <v>13889.246500000001</v>
      </c>
      <c r="F69" s="87">
        <f>C69*1.1818</f>
        <v>96554.773609999989</v>
      </c>
      <c r="G69" s="87">
        <f>C69*1.2568</f>
        <v>102682.38235999999</v>
      </c>
      <c r="H69" s="86">
        <f t="shared" si="11"/>
        <v>56.225808735598697</v>
      </c>
      <c r="I69" s="86">
        <f t="shared" si="12"/>
        <v>71.269080088616874</v>
      </c>
      <c r="J69" s="2"/>
    </row>
    <row r="70" spans="2:10" x14ac:dyDescent="0.25">
      <c r="B70" s="294">
        <v>7.1</v>
      </c>
      <c r="C70" s="87">
        <v>84770.64</v>
      </c>
      <c r="D70" s="87">
        <f t="shared" si="7"/>
        <v>6256.0732319999979</v>
      </c>
      <c r="E70" s="87">
        <f t="shared" si="8"/>
        <v>14411.008800000001</v>
      </c>
      <c r="F70" s="87">
        <f t="shared" si="9"/>
        <v>100181.942352</v>
      </c>
      <c r="G70" s="87">
        <f t="shared" si="10"/>
        <v>106539.74035199999</v>
      </c>
      <c r="H70" s="86">
        <f t="shared" si="11"/>
        <v>58.337982875876655</v>
      </c>
      <c r="I70" s="86">
        <f t="shared" si="12"/>
        <v>73.94636853230034</v>
      </c>
      <c r="J70" s="2"/>
    </row>
    <row r="71" spans="2:10" x14ac:dyDescent="0.25">
      <c r="B71" s="294">
        <v>7.2</v>
      </c>
      <c r="C71" s="87">
        <v>87357.35</v>
      </c>
      <c r="D71" s="87">
        <f t="shared" si="7"/>
        <v>6446.972429999998</v>
      </c>
      <c r="E71" s="87">
        <f t="shared" si="8"/>
        <v>14850.749500000002</v>
      </c>
      <c r="F71" s="87">
        <f t="shared" si="9"/>
        <v>103238.91623</v>
      </c>
      <c r="G71" s="87">
        <f t="shared" si="10"/>
        <v>109790.71748000001</v>
      </c>
      <c r="H71" s="86">
        <f t="shared" si="11"/>
        <v>60.118120948266579</v>
      </c>
      <c r="I71" s="86">
        <f t="shared" si="12"/>
        <v>76.20278432609625</v>
      </c>
      <c r="J71" s="2"/>
    </row>
    <row r="72" spans="2:10" x14ac:dyDescent="0.25">
      <c r="B72" s="294">
        <v>7.3</v>
      </c>
      <c r="C72" s="87">
        <v>89945.43</v>
      </c>
      <c r="D72" s="87">
        <f t="shared" si="7"/>
        <v>6637.9727339999972</v>
      </c>
      <c r="E72" s="87">
        <f t="shared" si="8"/>
        <v>15290.723099999999</v>
      </c>
      <c r="F72" s="87">
        <f t="shared" si="9"/>
        <v>106297.50917399999</v>
      </c>
      <c r="G72" s="87">
        <f t="shared" si="10"/>
        <v>113043.41642399998</v>
      </c>
      <c r="H72" s="86">
        <f t="shared" si="11"/>
        <v>61.899201835722387</v>
      </c>
      <c r="I72" s="86">
        <f t="shared" si="12"/>
        <v>78.46039518607175</v>
      </c>
      <c r="J72" s="2"/>
    </row>
    <row r="73" spans="2:10" x14ac:dyDescent="0.25">
      <c r="B73" s="294">
        <v>7.4</v>
      </c>
      <c r="C73" s="87">
        <v>91015</v>
      </c>
      <c r="D73" s="87">
        <f t="shared" si="7"/>
        <v>6716.9069999999983</v>
      </c>
      <c r="E73" s="87">
        <f t="shared" si="8"/>
        <v>15472.550000000001</v>
      </c>
      <c r="F73" s="87">
        <f t="shared" si="9"/>
        <v>107561.527</v>
      </c>
      <c r="G73" s="87">
        <f t="shared" si="10"/>
        <v>114387.65199999999</v>
      </c>
      <c r="H73" s="86">
        <f t="shared" si="11"/>
        <v>62.635265127736602</v>
      </c>
      <c r="I73" s="86">
        <f t="shared" si="12"/>
        <v>79.393392947927666</v>
      </c>
      <c r="J73" s="2"/>
    </row>
    <row r="74" spans="2:10" x14ac:dyDescent="0.25">
      <c r="B74" s="294">
        <v>8.1</v>
      </c>
      <c r="C74" s="87">
        <v>95418.26</v>
      </c>
      <c r="D74" s="87">
        <f t="shared" si="7"/>
        <v>7041.8675879999973</v>
      </c>
      <c r="E74" s="87">
        <f t="shared" si="8"/>
        <v>16221.1042</v>
      </c>
      <c r="F74" s="87">
        <f t="shared" si="9"/>
        <v>112765.29966799999</v>
      </c>
      <c r="G74" s="87">
        <f t="shared" si="10"/>
        <v>119921.66916799998</v>
      </c>
      <c r="H74" s="86">
        <f t="shared" si="11"/>
        <v>65.665527804508088</v>
      </c>
      <c r="I74" s="86">
        <f t="shared" si="12"/>
        <v>83.234405434132043</v>
      </c>
      <c r="J74" s="2"/>
    </row>
    <row r="75" spans="2:10" x14ac:dyDescent="0.25">
      <c r="B75" s="294">
        <v>8.1999999999999993</v>
      </c>
      <c r="C75" s="87">
        <v>98522.17</v>
      </c>
      <c r="D75" s="87">
        <f t="shared" si="7"/>
        <v>7270.9361459999973</v>
      </c>
      <c r="E75" s="87">
        <f t="shared" si="8"/>
        <v>16748.768899999999</v>
      </c>
      <c r="F75" s="87">
        <f t="shared" si="9"/>
        <v>116433.500506</v>
      </c>
      <c r="G75" s="87">
        <f t="shared" si="10"/>
        <v>123822.66325599999</v>
      </c>
      <c r="H75" s="86">
        <f t="shared" si="11"/>
        <v>67.801595768938498</v>
      </c>
      <c r="I75" s="86">
        <f t="shared" si="12"/>
        <v>85.941980518513773</v>
      </c>
      <c r="J75" s="2"/>
    </row>
    <row r="76" spans="2:10" x14ac:dyDescent="0.25">
      <c r="B76" s="294">
        <v>8.3000000000000007</v>
      </c>
      <c r="C76" s="87">
        <v>101626.52</v>
      </c>
      <c r="D76" s="87">
        <f t="shared" si="7"/>
        <v>7500.037175999998</v>
      </c>
      <c r="E76" s="87">
        <f t="shared" si="8"/>
        <v>17276.508400000002</v>
      </c>
      <c r="F76" s="87">
        <f t="shared" si="9"/>
        <v>120102.221336</v>
      </c>
      <c r="G76" s="87">
        <f t="shared" si="10"/>
        <v>127724.210336</v>
      </c>
      <c r="H76" s="86">
        <f t="shared" si="11"/>
        <v>69.937966535287885</v>
      </c>
      <c r="I76" s="86">
        <f t="shared" si="12"/>
        <v>88.649939419770703</v>
      </c>
      <c r="J76" s="2"/>
    </row>
    <row r="77" spans="2:10" x14ac:dyDescent="0.25">
      <c r="B77" s="294">
        <v>8.4</v>
      </c>
      <c r="C77" s="87">
        <v>104727.5</v>
      </c>
      <c r="D77" s="87">
        <f t="shared" si="7"/>
        <v>7728.8894999999975</v>
      </c>
      <c r="E77" s="87">
        <f t="shared" si="8"/>
        <v>17803.675000000003</v>
      </c>
      <c r="F77" s="87">
        <f t="shared" si="9"/>
        <v>123766.9595</v>
      </c>
      <c r="G77" s="87">
        <f t="shared" si="10"/>
        <v>131621.522</v>
      </c>
      <c r="H77" s="86">
        <f t="shared" si="11"/>
        <v>72.072018114212327</v>
      </c>
      <c r="I77" s="86">
        <f t="shared" si="12"/>
        <v>91.354958632687953</v>
      </c>
      <c r="J77" s="2"/>
    </row>
    <row r="78" spans="2:10" x14ac:dyDescent="0.25">
      <c r="B78" s="294">
        <v>8.5</v>
      </c>
      <c r="C78" s="87">
        <v>106008.72</v>
      </c>
      <c r="D78" s="87">
        <f t="shared" si="7"/>
        <v>7823.4435359999979</v>
      </c>
      <c r="E78" s="87">
        <f t="shared" si="8"/>
        <v>18021.482400000001</v>
      </c>
      <c r="F78" s="87">
        <f t="shared" si="9"/>
        <v>125281.10529599999</v>
      </c>
      <c r="G78" s="87">
        <f t="shared" si="10"/>
        <v>133231.759296</v>
      </c>
      <c r="H78" s="86">
        <f t="shared" si="11"/>
        <v>72.953736011118991</v>
      </c>
      <c r="I78" s="86">
        <f t="shared" si="12"/>
        <v>92.472581034629897</v>
      </c>
      <c r="J78" s="2"/>
    </row>
    <row r="79" spans="2:10" x14ac:dyDescent="0.25">
      <c r="B79" s="294">
        <v>9.1</v>
      </c>
      <c r="C79" s="87">
        <v>110933.43</v>
      </c>
      <c r="D79" s="87">
        <f t="shared" si="7"/>
        <v>8186.8871339999969</v>
      </c>
      <c r="E79" s="87">
        <f t="shared" si="8"/>
        <v>18858.683099999998</v>
      </c>
      <c r="F79" s="87">
        <f t="shared" si="9"/>
        <v>131101.12757399998</v>
      </c>
      <c r="G79" s="87">
        <f t="shared" si="10"/>
        <v>139421.13482399998</v>
      </c>
      <c r="H79" s="86">
        <f t="shared" si="11"/>
        <v>76.342853371193854</v>
      </c>
      <c r="I79" s="86">
        <f t="shared" si="12"/>
        <v>96.768460133510146</v>
      </c>
      <c r="J79" s="2"/>
    </row>
    <row r="80" spans="2:10" x14ac:dyDescent="0.25">
      <c r="B80" s="294">
        <v>9.1999999999999993</v>
      </c>
      <c r="C80" s="87">
        <v>114036.77</v>
      </c>
      <c r="D80" s="87">
        <f t="shared" si="7"/>
        <v>8415.9136259999977</v>
      </c>
      <c r="E80" s="87">
        <f t="shared" si="8"/>
        <v>19386.250900000003</v>
      </c>
      <c r="F80" s="87">
        <f t="shared" si="9"/>
        <v>134768.654786</v>
      </c>
      <c r="G80" s="87">
        <f t="shared" si="10"/>
        <v>143321.41253599999</v>
      </c>
      <c r="H80" s="86">
        <f t="shared" si="11"/>
        <v>78.478529069501946</v>
      </c>
      <c r="I80" s="86">
        <f t="shared" si="12"/>
        <v>99.475538000576265</v>
      </c>
      <c r="J80" s="2"/>
    </row>
    <row r="81" spans="1:19" x14ac:dyDescent="0.25">
      <c r="B81" s="294">
        <v>9.3000000000000007</v>
      </c>
      <c r="C81" s="87">
        <v>115319.93</v>
      </c>
      <c r="D81" s="87">
        <f t="shared" si="7"/>
        <v>8510.6108339999973</v>
      </c>
      <c r="E81" s="87">
        <f t="shared" si="8"/>
        <v>19604.3881</v>
      </c>
      <c r="F81" s="87">
        <f t="shared" si="9"/>
        <v>136285.09327399998</v>
      </c>
      <c r="G81" s="87">
        <f t="shared" si="10"/>
        <v>144934.08802399997</v>
      </c>
      <c r="H81" s="86">
        <f t="shared" si="11"/>
        <v>79.361582047596826</v>
      </c>
      <c r="I81" s="86">
        <f t="shared" si="12"/>
        <v>100.59485268601341</v>
      </c>
      <c r="J81" s="2"/>
    </row>
    <row r="82" spans="1:19" x14ac:dyDescent="0.25">
      <c r="B82" s="294">
        <v>10.1</v>
      </c>
      <c r="C82" s="87">
        <v>118918.05</v>
      </c>
      <c r="D82" s="87">
        <f t="shared" si="7"/>
        <v>8776.1520899999978</v>
      </c>
      <c r="E82" s="87">
        <f t="shared" si="8"/>
        <v>20216.068500000001</v>
      </c>
      <c r="F82" s="87">
        <f t="shared" si="9"/>
        <v>140537.35149</v>
      </c>
      <c r="G82" s="87">
        <f t="shared" si="10"/>
        <v>149456.20523999998</v>
      </c>
      <c r="H82" s="86">
        <f t="shared" si="11"/>
        <v>81.837758503800885</v>
      </c>
      <c r="I82" s="86">
        <f t="shared" si="12"/>
        <v>103.73353262925133</v>
      </c>
      <c r="J82" s="2"/>
    </row>
    <row r="83" spans="1:19" x14ac:dyDescent="0.25">
      <c r="B83" s="294">
        <v>10.199999999999999</v>
      </c>
      <c r="C83" s="302">
        <v>122470.38</v>
      </c>
      <c r="D83" s="302">
        <f t="shared" si="7"/>
        <v>9038.314043999997</v>
      </c>
      <c r="E83" s="302">
        <f t="shared" si="8"/>
        <v>20819.964600000003</v>
      </c>
      <c r="F83" s="302">
        <f t="shared" si="9"/>
        <v>144735.49508399999</v>
      </c>
      <c r="G83" s="302">
        <f t="shared" si="10"/>
        <v>153920.77358400001</v>
      </c>
      <c r="H83" s="303">
        <f t="shared" si="11"/>
        <v>84.28242291484537</v>
      </c>
      <c r="I83" s="303">
        <f t="shared" si="12"/>
        <v>106.83226944813516</v>
      </c>
      <c r="J83" s="308"/>
    </row>
    <row r="84" spans="1:19" s="35" customFormat="1" ht="45" x14ac:dyDescent="0.25">
      <c r="B84" s="296">
        <v>10.3</v>
      </c>
      <c r="C84" s="305">
        <v>123957.25</v>
      </c>
      <c r="D84" s="302">
        <f t="shared" si="7"/>
        <v>9148.045049999997</v>
      </c>
      <c r="E84" s="302">
        <f t="shared" si="8"/>
        <v>21072.732500000002</v>
      </c>
      <c r="F84" s="302">
        <f t="shared" si="9"/>
        <v>146492.67804999999</v>
      </c>
      <c r="G84" s="302">
        <f t="shared" si="10"/>
        <v>155789.4718</v>
      </c>
      <c r="H84" s="303">
        <f t="shared" si="11"/>
        <v>85.30566629956742</v>
      </c>
      <c r="I84" s="303">
        <f t="shared" si="12"/>
        <v>108.129282623683</v>
      </c>
      <c r="J84" s="308"/>
      <c r="K84" s="289"/>
      <c r="L84" s="259" t="s">
        <v>402</v>
      </c>
      <c r="M84" s="258" t="s">
        <v>403</v>
      </c>
      <c r="N84" s="258"/>
      <c r="O84" s="259" t="s">
        <v>404</v>
      </c>
      <c r="P84" s="260" t="s">
        <v>405</v>
      </c>
      <c r="Q84" s="261" t="s">
        <v>406</v>
      </c>
      <c r="R84" s="261" t="s">
        <v>407</v>
      </c>
      <c r="S84" s="261" t="s">
        <v>408</v>
      </c>
    </row>
    <row r="85" spans="1:19" s="35" customFormat="1" x14ac:dyDescent="0.25">
      <c r="B85" s="297" t="s">
        <v>415</v>
      </c>
      <c r="C85" s="306">
        <f>M85*(1+$M$1)*35*52.178571</f>
        <v>43336.912144050002</v>
      </c>
      <c r="D85" s="306">
        <f>(C85*(0.01+0.0545))</f>
        <v>2795.2308332912253</v>
      </c>
      <c r="E85" s="306">
        <f>C85*0.095</f>
        <v>4117.0066536847498</v>
      </c>
      <c r="F85" s="302">
        <f t="shared" si="9"/>
        <v>51215.562771838289</v>
      </c>
      <c r="G85" s="306">
        <f>F85</f>
        <v>51215.562771838289</v>
      </c>
      <c r="H85" s="303">
        <f>G85/52.178571/35</f>
        <v>28.044114</v>
      </c>
      <c r="I85" s="303">
        <f>H85</f>
        <v>28.044114</v>
      </c>
      <c r="J85" s="308"/>
      <c r="K85" s="289"/>
      <c r="L85" s="35">
        <v>1</v>
      </c>
      <c r="M85" s="35">
        <v>23.73</v>
      </c>
      <c r="O85" s="290">
        <f>M85*0.01</f>
        <v>0.23730000000000001</v>
      </c>
      <c r="P85" s="290">
        <f>M85*0.0545</f>
        <v>1.293285</v>
      </c>
      <c r="Q85" s="290">
        <f>M85*0.095</f>
        <v>2.2543500000000001</v>
      </c>
      <c r="R85" s="290">
        <f>Q85*0.0545</f>
        <v>0.122862075</v>
      </c>
      <c r="S85" s="290">
        <f>SUM(M85:R85)</f>
        <v>27.637797075000002</v>
      </c>
    </row>
    <row r="86" spans="1:19" s="35" customFormat="1" x14ac:dyDescent="0.25">
      <c r="B86" s="297" t="s">
        <v>394</v>
      </c>
      <c r="C86" s="306">
        <f>M86*35*52.178571</f>
        <v>46240.649620199998</v>
      </c>
      <c r="D86" s="306">
        <f>(C86*(0.01+0.0545))</f>
        <v>2982.5219005028998</v>
      </c>
      <c r="E86" s="306">
        <f>C86*0.095</f>
        <v>4392.8617139190001</v>
      </c>
      <c r="F86" s="302">
        <f t="shared" si="9"/>
        <v>54647.199721152356</v>
      </c>
      <c r="G86" s="306">
        <f>F86</f>
        <v>54647.199721152356</v>
      </c>
      <c r="H86" s="303">
        <f t="shared" si="11"/>
        <v>29.923175999999998</v>
      </c>
      <c r="I86" s="303">
        <f t="shared" ref="I86:I109" si="13">H86</f>
        <v>29.923175999999998</v>
      </c>
      <c r="J86" s="308"/>
      <c r="K86" s="289"/>
      <c r="L86" s="35">
        <v>2</v>
      </c>
      <c r="M86" s="290">
        <v>25.32</v>
      </c>
      <c r="N86" s="290"/>
      <c r="O86" s="290">
        <f>M86*0.01</f>
        <v>0.25319999999999998</v>
      </c>
      <c r="P86" s="290">
        <f>M86*0.0545</f>
        <v>1.3799399999999999</v>
      </c>
      <c r="Q86" s="290">
        <f>M86*0.095</f>
        <v>2.4054000000000002</v>
      </c>
      <c r="R86" s="290">
        <f>Q86*0.0545</f>
        <v>0.1310943</v>
      </c>
      <c r="S86" s="290">
        <f>SUM(M86:R86)</f>
        <v>29.489634300000002</v>
      </c>
    </row>
    <row r="87" spans="1:19" s="35" customFormat="1" x14ac:dyDescent="0.25">
      <c r="B87" s="297" t="s">
        <v>395</v>
      </c>
      <c r="C87" s="306">
        <f>M87*35*52.178571</f>
        <v>52029.862072649994</v>
      </c>
      <c r="D87" s="306">
        <f>(C87*(0.01+0.0545))</f>
        <v>3355.9261036859248</v>
      </c>
      <c r="E87" s="306">
        <f t="shared" ref="E87:E109" si="14">C87*0.095</f>
        <v>4942.8368969017492</v>
      </c>
      <c r="F87" s="302">
        <f t="shared" si="9"/>
        <v>61488.890997457762</v>
      </c>
      <c r="G87" s="306">
        <f t="shared" ref="G87:G109" si="15">F87</f>
        <v>61488.890997457762</v>
      </c>
      <c r="H87" s="303">
        <f t="shared" si="11"/>
        <v>33.669481999999995</v>
      </c>
      <c r="I87" s="303">
        <f t="shared" si="13"/>
        <v>33.669481999999995</v>
      </c>
      <c r="J87" s="308"/>
      <c r="K87" s="289"/>
      <c r="L87" s="35">
        <v>3</v>
      </c>
      <c r="M87" s="290">
        <v>28.49</v>
      </c>
      <c r="N87" s="290"/>
      <c r="O87" s="290">
        <f>M87*0.01</f>
        <v>0.28489999999999999</v>
      </c>
      <c r="P87" s="290">
        <f>M87*0.0545</f>
        <v>1.552705</v>
      </c>
      <c r="Q87" s="290">
        <f>M87*0.095</f>
        <v>2.70655</v>
      </c>
      <c r="R87" s="290">
        <f>Q87*0.0545</f>
        <v>0.14750697500000001</v>
      </c>
      <c r="S87" s="290">
        <f>SUM(M87:R87)</f>
        <v>33.181661974999997</v>
      </c>
    </row>
    <row r="88" spans="1:19" s="35" customFormat="1" x14ac:dyDescent="0.25">
      <c r="A88" s="291" t="s">
        <v>417</v>
      </c>
      <c r="B88" s="297" t="s">
        <v>416</v>
      </c>
      <c r="C88" s="302">
        <f>J88*37.5*52.178571*(1+$M$1)</f>
        <v>87386.061782249992</v>
      </c>
      <c r="D88" s="306">
        <f>(C88*(0.01+0.0545))</f>
        <v>5636.4009849551248</v>
      </c>
      <c r="E88" s="306">
        <f t="shared" si="14"/>
        <v>8301.675869313749</v>
      </c>
      <c r="F88" s="302">
        <f t="shared" si="9"/>
        <v>103272.84781426303</v>
      </c>
      <c r="G88" s="306">
        <f t="shared" si="15"/>
        <v>103272.84781426303</v>
      </c>
      <c r="H88" s="303">
        <f>G88/52.178571/37.55</f>
        <v>52.708909454061249</v>
      </c>
      <c r="I88" s="303">
        <f t="shared" si="13"/>
        <v>52.708909454061249</v>
      </c>
      <c r="J88" s="304">
        <v>44.66</v>
      </c>
      <c r="K88" s="289"/>
    </row>
    <row r="89" spans="1:19" s="35" customFormat="1" ht="30" x14ac:dyDescent="0.25">
      <c r="A89" s="291" t="s">
        <v>419</v>
      </c>
      <c r="B89" s="297" t="s">
        <v>418</v>
      </c>
      <c r="C89" s="302">
        <f t="shared" ref="C89:C109" si="16">J89*37.5*52.178571*(1+$M$1)</f>
        <v>104370.18664275001</v>
      </c>
      <c r="D89" s="306">
        <f t="shared" ref="D89:D109" si="17">(C89*(0.01+0.0545))</f>
        <v>6731.8770384573754</v>
      </c>
      <c r="E89" s="306">
        <f t="shared" si="14"/>
        <v>9915.1677310612504</v>
      </c>
      <c r="F89" s="302">
        <f t="shared" si="9"/>
        <v>123344.68657440196</v>
      </c>
      <c r="G89" s="306">
        <f t="shared" si="15"/>
        <v>123344.68657440196</v>
      </c>
      <c r="H89" s="303">
        <f t="shared" ref="H89:H109" si="18">G89/52.178571/37.55</f>
        <v>62.953274300932108</v>
      </c>
      <c r="I89" s="303">
        <f t="shared" si="13"/>
        <v>62.953274300932108</v>
      </c>
      <c r="J89" s="304">
        <v>53.34</v>
      </c>
      <c r="K89" s="289"/>
      <c r="L89" s="288"/>
    </row>
    <row r="90" spans="1:19" s="35" customFormat="1" x14ac:dyDescent="0.25">
      <c r="A90" s="291" t="s">
        <v>421</v>
      </c>
      <c r="B90" s="297" t="s">
        <v>420</v>
      </c>
      <c r="C90" s="302">
        <f t="shared" si="16"/>
        <v>122254.39185299999</v>
      </c>
      <c r="D90" s="306">
        <f t="shared" si="17"/>
        <v>7885.4082745184996</v>
      </c>
      <c r="E90" s="306">
        <f t="shared" si="14"/>
        <v>11614.167226034999</v>
      </c>
      <c r="F90" s="302">
        <f t="shared" si="9"/>
        <v>144480.24029187538</v>
      </c>
      <c r="G90" s="306">
        <f t="shared" si="15"/>
        <v>144480.24029187538</v>
      </c>
      <c r="H90" s="303">
        <f t="shared" si="18"/>
        <v>73.74054327563249</v>
      </c>
      <c r="I90" s="303">
        <f t="shared" si="13"/>
        <v>73.74054327563249</v>
      </c>
      <c r="J90" s="304">
        <v>62.48</v>
      </c>
      <c r="K90" s="289"/>
      <c r="L90" s="288"/>
    </row>
    <row r="91" spans="1:19" s="35" customFormat="1" ht="30" x14ac:dyDescent="0.25">
      <c r="A91" s="291" t="s">
        <v>423</v>
      </c>
      <c r="B91" s="297" t="s">
        <v>422</v>
      </c>
      <c r="C91" s="302">
        <f t="shared" si="16"/>
        <v>122254.39185299999</v>
      </c>
      <c r="D91" s="306">
        <f t="shared" si="17"/>
        <v>7885.4082745184996</v>
      </c>
      <c r="E91" s="306">
        <f t="shared" si="14"/>
        <v>11614.167226034999</v>
      </c>
      <c r="F91" s="302">
        <f t="shared" si="9"/>
        <v>144480.24029187538</v>
      </c>
      <c r="G91" s="306">
        <f t="shared" si="15"/>
        <v>144480.24029187538</v>
      </c>
      <c r="H91" s="303">
        <f t="shared" si="18"/>
        <v>73.74054327563249</v>
      </c>
      <c r="I91" s="303">
        <f t="shared" si="13"/>
        <v>73.74054327563249</v>
      </c>
      <c r="J91" s="304">
        <v>62.48</v>
      </c>
      <c r="K91" s="289"/>
      <c r="L91" s="288"/>
    </row>
    <row r="92" spans="1:19" s="35" customFormat="1" ht="30" x14ac:dyDescent="0.25">
      <c r="A92" s="291" t="s">
        <v>425</v>
      </c>
      <c r="B92" s="297" t="s">
        <v>424</v>
      </c>
      <c r="C92" s="302">
        <f t="shared" si="16"/>
        <v>87386.061782249992</v>
      </c>
      <c r="D92" s="306">
        <f t="shared" si="17"/>
        <v>5636.4009849551248</v>
      </c>
      <c r="E92" s="306">
        <f t="shared" si="14"/>
        <v>8301.675869313749</v>
      </c>
      <c r="F92" s="302">
        <f t="shared" si="9"/>
        <v>103272.84781426303</v>
      </c>
      <c r="G92" s="306">
        <f t="shared" si="15"/>
        <v>103272.84781426303</v>
      </c>
      <c r="H92" s="303">
        <f t="shared" si="18"/>
        <v>52.708909454061249</v>
      </c>
      <c r="I92" s="303">
        <f t="shared" si="13"/>
        <v>52.708909454061249</v>
      </c>
      <c r="J92" s="304">
        <v>44.66</v>
      </c>
      <c r="K92" s="289"/>
      <c r="L92" s="288"/>
    </row>
    <row r="93" spans="1:19" s="35" customFormat="1" ht="30" x14ac:dyDescent="0.25">
      <c r="A93" s="291" t="s">
        <v>427</v>
      </c>
      <c r="B93" s="297" t="s">
        <v>426</v>
      </c>
      <c r="C93" s="302">
        <f t="shared" si="16"/>
        <v>104370.18664275001</v>
      </c>
      <c r="D93" s="306">
        <f t="shared" si="17"/>
        <v>6731.8770384573754</v>
      </c>
      <c r="E93" s="306">
        <f t="shared" si="14"/>
        <v>9915.1677310612504</v>
      </c>
      <c r="F93" s="302">
        <f t="shared" si="9"/>
        <v>123344.68657440196</v>
      </c>
      <c r="G93" s="306">
        <f t="shared" si="15"/>
        <v>123344.68657440196</v>
      </c>
      <c r="H93" s="303">
        <f t="shared" si="18"/>
        <v>62.953274300932108</v>
      </c>
      <c r="I93" s="303">
        <f t="shared" si="13"/>
        <v>62.953274300932108</v>
      </c>
      <c r="J93" s="304">
        <v>53.34</v>
      </c>
      <c r="K93" s="289"/>
      <c r="L93" s="288"/>
    </row>
    <row r="94" spans="1:19" s="35" customFormat="1" ht="30" x14ac:dyDescent="0.25">
      <c r="A94" s="291" t="s">
        <v>429</v>
      </c>
      <c r="B94" s="297" t="s">
        <v>428</v>
      </c>
      <c r="C94" s="302">
        <f t="shared" si="16"/>
        <v>131059.52570925</v>
      </c>
      <c r="D94" s="306">
        <f t="shared" si="17"/>
        <v>8453.3394082466257</v>
      </c>
      <c r="E94" s="306">
        <f t="shared" si="14"/>
        <v>12450.654942378749</v>
      </c>
      <c r="F94" s="302">
        <f t="shared" si="9"/>
        <v>154886.14748319163</v>
      </c>
      <c r="G94" s="306">
        <f t="shared" si="15"/>
        <v>154886.14748319163</v>
      </c>
      <c r="H94" s="303">
        <f t="shared" si="18"/>
        <v>79.051561917443408</v>
      </c>
      <c r="I94" s="303">
        <f t="shared" si="13"/>
        <v>79.051561917443408</v>
      </c>
      <c r="J94" s="304">
        <v>66.98</v>
      </c>
      <c r="K94" s="289"/>
      <c r="L94" s="288"/>
    </row>
    <row r="95" spans="1:19" s="35" customFormat="1" ht="45" x14ac:dyDescent="0.25">
      <c r="A95" s="291" t="s">
        <v>431</v>
      </c>
      <c r="B95" s="297" t="s">
        <v>430</v>
      </c>
      <c r="C95" s="302">
        <f t="shared" si="16"/>
        <v>156555.27996412499</v>
      </c>
      <c r="D95" s="306">
        <f t="shared" si="17"/>
        <v>10097.815557686063</v>
      </c>
      <c r="E95" s="306">
        <f t="shared" si="14"/>
        <v>14872.751596591874</v>
      </c>
      <c r="F95" s="302">
        <f t="shared" si="9"/>
        <v>185017.0298616029</v>
      </c>
      <c r="G95" s="306">
        <f t="shared" si="15"/>
        <v>185017.0298616029</v>
      </c>
      <c r="H95" s="303">
        <f t="shared" si="18"/>
        <v>94.429911451398127</v>
      </c>
      <c r="I95" s="303">
        <f t="shared" si="13"/>
        <v>94.429911451398127</v>
      </c>
      <c r="J95" s="304">
        <v>80.010000000000005</v>
      </c>
      <c r="K95" s="289"/>
      <c r="L95" s="288"/>
    </row>
    <row r="96" spans="1:19" s="35" customFormat="1" x14ac:dyDescent="0.25">
      <c r="A96" s="291" t="s">
        <v>433</v>
      </c>
      <c r="B96" s="297" t="s">
        <v>432</v>
      </c>
      <c r="C96" s="302">
        <f t="shared" si="16"/>
        <v>174732.98963624999</v>
      </c>
      <c r="D96" s="306">
        <f t="shared" si="17"/>
        <v>11270.277831538124</v>
      </c>
      <c r="E96" s="306">
        <f t="shared" si="14"/>
        <v>16599.634015443749</v>
      </c>
      <c r="F96" s="302">
        <f t="shared" si="9"/>
        <v>206499.44715212024</v>
      </c>
      <c r="G96" s="306">
        <f t="shared" si="15"/>
        <v>206499.44715212024</v>
      </c>
      <c r="H96" s="303">
        <f t="shared" si="18"/>
        <v>105.39421438082557</v>
      </c>
      <c r="I96" s="303">
        <f t="shared" si="13"/>
        <v>105.39421438082557</v>
      </c>
      <c r="J96" s="304">
        <v>89.3</v>
      </c>
      <c r="K96" s="289"/>
      <c r="L96" s="288"/>
    </row>
    <row r="97" spans="1:12" s="35" customFormat="1" x14ac:dyDescent="0.25">
      <c r="A97" s="291" t="s">
        <v>435</v>
      </c>
      <c r="B97" s="297" t="s">
        <v>434</v>
      </c>
      <c r="C97" s="302">
        <f t="shared" si="16"/>
        <v>208740.37328550001</v>
      </c>
      <c r="D97" s="306">
        <f t="shared" si="17"/>
        <v>13463.754076914751</v>
      </c>
      <c r="E97" s="306">
        <f t="shared" si="14"/>
        <v>19830.335462122501</v>
      </c>
      <c r="F97" s="302">
        <f t="shared" si="9"/>
        <v>246689.37314880392</v>
      </c>
      <c r="G97" s="306">
        <f t="shared" si="15"/>
        <v>246689.37314880392</v>
      </c>
      <c r="H97" s="303">
        <f t="shared" si="18"/>
        <v>125.90654860186422</v>
      </c>
      <c r="I97" s="303">
        <f t="shared" si="13"/>
        <v>125.90654860186422</v>
      </c>
      <c r="J97" s="304">
        <v>106.68</v>
      </c>
      <c r="K97" s="289"/>
      <c r="L97" s="288"/>
    </row>
    <row r="98" spans="1:12" s="35" customFormat="1" x14ac:dyDescent="0.25">
      <c r="A98" s="291" t="s">
        <v>437</v>
      </c>
      <c r="B98" s="297" t="s">
        <v>436</v>
      </c>
      <c r="C98" s="302">
        <f t="shared" si="16"/>
        <v>262119.05141849999</v>
      </c>
      <c r="D98" s="306">
        <f t="shared" si="17"/>
        <v>16906.678816493251</v>
      </c>
      <c r="E98" s="306">
        <f t="shared" si="14"/>
        <v>24901.309884757498</v>
      </c>
      <c r="F98" s="302">
        <f t="shared" si="9"/>
        <v>309772.29496638326</v>
      </c>
      <c r="G98" s="306">
        <f t="shared" si="15"/>
        <v>309772.29496638326</v>
      </c>
      <c r="H98" s="303">
        <f t="shared" si="18"/>
        <v>158.10312383488682</v>
      </c>
      <c r="I98" s="303">
        <f t="shared" si="13"/>
        <v>158.10312383488682</v>
      </c>
      <c r="J98" s="304">
        <v>133.96</v>
      </c>
      <c r="K98" s="289"/>
      <c r="L98" s="288"/>
    </row>
    <row r="99" spans="1:12" s="35" customFormat="1" x14ac:dyDescent="0.25">
      <c r="A99" s="291" t="s">
        <v>439</v>
      </c>
      <c r="B99" s="297" t="s">
        <v>438</v>
      </c>
      <c r="C99" s="302">
        <f t="shared" si="16"/>
        <v>313110.55992824998</v>
      </c>
      <c r="D99" s="306">
        <f t="shared" si="17"/>
        <v>20195.631115372125</v>
      </c>
      <c r="E99" s="306">
        <f t="shared" si="14"/>
        <v>29745.503193183747</v>
      </c>
      <c r="F99" s="302">
        <f t="shared" si="9"/>
        <v>370034.05972320581</v>
      </c>
      <c r="G99" s="306">
        <f t="shared" si="15"/>
        <v>370034.05972320581</v>
      </c>
      <c r="H99" s="303">
        <f t="shared" si="18"/>
        <v>188.85982290279625</v>
      </c>
      <c r="I99" s="303">
        <f t="shared" si="13"/>
        <v>188.85982290279625</v>
      </c>
      <c r="J99" s="304">
        <v>160.02000000000001</v>
      </c>
      <c r="K99" s="289"/>
      <c r="L99" s="288"/>
    </row>
    <row r="100" spans="1:12" s="35" customFormat="1" x14ac:dyDescent="0.25">
      <c r="A100" s="291" t="s">
        <v>441</v>
      </c>
      <c r="B100" s="297" t="s">
        <v>440</v>
      </c>
      <c r="C100" s="302">
        <f t="shared" si="16"/>
        <v>244489.21674187499</v>
      </c>
      <c r="D100" s="306">
        <f t="shared" si="17"/>
        <v>15769.554479850936</v>
      </c>
      <c r="E100" s="306">
        <f t="shared" si="14"/>
        <v>23226.475590478123</v>
      </c>
      <c r="F100" s="302">
        <f t="shared" si="9"/>
        <v>288937.35634554783</v>
      </c>
      <c r="G100" s="306">
        <f t="shared" si="15"/>
        <v>288937.35634554783</v>
      </c>
      <c r="H100" s="303">
        <f t="shared" si="18"/>
        <v>147.46928428761649</v>
      </c>
      <c r="I100" s="303">
        <f t="shared" si="13"/>
        <v>147.46928428761649</v>
      </c>
      <c r="J100" s="304">
        <v>124.95</v>
      </c>
      <c r="K100" s="289"/>
      <c r="L100" s="288"/>
    </row>
    <row r="101" spans="1:12" s="35" customFormat="1" x14ac:dyDescent="0.25">
      <c r="A101" s="291" t="s">
        <v>443</v>
      </c>
      <c r="B101" s="297" t="s">
        <v>442</v>
      </c>
      <c r="C101" s="302">
        <f t="shared" si="16"/>
        <v>366743.60859487497</v>
      </c>
      <c r="D101" s="306">
        <f t="shared" si="17"/>
        <v>23654.962754369437</v>
      </c>
      <c r="E101" s="306">
        <f t="shared" si="14"/>
        <v>34840.642816513122</v>
      </c>
      <c r="F101" s="302">
        <f t="shared" si="9"/>
        <v>433417.59663742321</v>
      </c>
      <c r="G101" s="306">
        <f t="shared" si="15"/>
        <v>433417.59663742321</v>
      </c>
      <c r="H101" s="303">
        <f t="shared" si="18"/>
        <v>221.20982756324901</v>
      </c>
      <c r="I101" s="303">
        <f t="shared" si="13"/>
        <v>221.20982756324901</v>
      </c>
      <c r="J101" s="304">
        <v>187.43</v>
      </c>
      <c r="K101" s="289"/>
      <c r="L101" s="288"/>
    </row>
    <row r="102" spans="1:12" s="35" customFormat="1" x14ac:dyDescent="0.25">
      <c r="A102" s="291" t="s">
        <v>445</v>
      </c>
      <c r="B102" s="297" t="s">
        <v>444</v>
      </c>
      <c r="C102" s="302">
        <f t="shared" si="16"/>
        <v>488998.00044787501</v>
      </c>
      <c r="D102" s="306">
        <f t="shared" si="17"/>
        <v>31540.371028887937</v>
      </c>
      <c r="E102" s="306">
        <f t="shared" si="14"/>
        <v>46454.810042548124</v>
      </c>
      <c r="F102" s="302">
        <f t="shared" si="9"/>
        <v>577897.8369292987</v>
      </c>
      <c r="G102" s="306">
        <f t="shared" si="15"/>
        <v>577897.8369292987</v>
      </c>
      <c r="H102" s="303">
        <f t="shared" si="18"/>
        <v>294.95037083888155</v>
      </c>
      <c r="I102" s="303">
        <f t="shared" si="13"/>
        <v>294.95037083888155</v>
      </c>
      <c r="J102" s="304">
        <v>249.91</v>
      </c>
      <c r="K102" s="289"/>
      <c r="L102" s="288"/>
    </row>
    <row r="103" spans="1:12" s="35" customFormat="1" x14ac:dyDescent="0.25">
      <c r="A103" s="291" t="s">
        <v>447</v>
      </c>
      <c r="B103" s="297" t="s">
        <v>446</v>
      </c>
      <c r="C103" s="302">
        <f t="shared" si="16"/>
        <v>611232.82533675001</v>
      </c>
      <c r="D103" s="306">
        <f t="shared" si="17"/>
        <v>39424.51723422038</v>
      </c>
      <c r="E103" s="306">
        <f t="shared" si="14"/>
        <v>58067.118406991249</v>
      </c>
      <c r="F103" s="302">
        <f t="shared" si="9"/>
        <v>722354.9529829711</v>
      </c>
      <c r="G103" s="306">
        <f t="shared" si="15"/>
        <v>722354.9529829711</v>
      </c>
      <c r="H103" s="303">
        <f t="shared" si="18"/>
        <v>368.67911185086552</v>
      </c>
      <c r="I103" s="303">
        <f t="shared" si="13"/>
        <v>368.67911185086552</v>
      </c>
      <c r="J103" s="304">
        <v>312.38</v>
      </c>
      <c r="K103" s="289"/>
      <c r="L103" s="288"/>
    </row>
    <row r="104" spans="1:12" s="35" customFormat="1" ht="30" x14ac:dyDescent="0.25">
      <c r="A104" s="291" t="s">
        <v>449</v>
      </c>
      <c r="B104" s="297" t="s">
        <v>448</v>
      </c>
      <c r="C104" s="302">
        <f t="shared" si="16"/>
        <v>131059.52570925</v>
      </c>
      <c r="D104" s="306">
        <f t="shared" si="17"/>
        <v>8453.3394082466257</v>
      </c>
      <c r="E104" s="306">
        <f t="shared" si="14"/>
        <v>12450.654942378749</v>
      </c>
      <c r="F104" s="302">
        <f t="shared" si="9"/>
        <v>154886.14748319163</v>
      </c>
      <c r="G104" s="306">
        <f t="shared" si="15"/>
        <v>154886.14748319163</v>
      </c>
      <c r="H104" s="303">
        <f t="shared" si="18"/>
        <v>79.051561917443408</v>
      </c>
      <c r="I104" s="303">
        <f t="shared" si="13"/>
        <v>79.051561917443408</v>
      </c>
      <c r="J104" s="304">
        <v>66.98</v>
      </c>
      <c r="K104" s="289"/>
      <c r="L104" s="288"/>
    </row>
    <row r="105" spans="1:12" s="35" customFormat="1" ht="30" x14ac:dyDescent="0.25">
      <c r="A105" s="291" t="s">
        <v>451</v>
      </c>
      <c r="B105" s="297" t="s">
        <v>450</v>
      </c>
      <c r="C105" s="302">
        <f t="shared" si="16"/>
        <v>174732.98963624999</v>
      </c>
      <c r="D105" s="306">
        <f t="shared" si="17"/>
        <v>11270.277831538124</v>
      </c>
      <c r="E105" s="306">
        <f t="shared" si="14"/>
        <v>16599.634015443749</v>
      </c>
      <c r="F105" s="302">
        <f t="shared" si="9"/>
        <v>206499.44715212024</v>
      </c>
      <c r="G105" s="306">
        <f t="shared" si="15"/>
        <v>206499.44715212024</v>
      </c>
      <c r="H105" s="303">
        <f t="shared" si="18"/>
        <v>105.39421438082557</v>
      </c>
      <c r="I105" s="303">
        <f t="shared" si="13"/>
        <v>105.39421438082557</v>
      </c>
      <c r="J105" s="304">
        <v>89.3</v>
      </c>
      <c r="K105" s="289"/>
      <c r="L105" s="288"/>
    </row>
    <row r="106" spans="1:12" s="35" customFormat="1" ht="30" x14ac:dyDescent="0.25">
      <c r="A106" s="291" t="s">
        <v>453</v>
      </c>
      <c r="B106" s="297" t="s">
        <v>452</v>
      </c>
      <c r="C106" s="302">
        <f t="shared" si="16"/>
        <v>156555.27996412499</v>
      </c>
      <c r="D106" s="306">
        <f t="shared" si="17"/>
        <v>10097.815557686063</v>
      </c>
      <c r="E106" s="306">
        <f t="shared" si="14"/>
        <v>14872.751596591874</v>
      </c>
      <c r="F106" s="302">
        <f t="shared" si="9"/>
        <v>185017.0298616029</v>
      </c>
      <c r="G106" s="306">
        <f t="shared" si="15"/>
        <v>185017.0298616029</v>
      </c>
      <c r="H106" s="303">
        <f t="shared" si="18"/>
        <v>94.429911451398127</v>
      </c>
      <c r="I106" s="303">
        <f t="shared" si="13"/>
        <v>94.429911451398127</v>
      </c>
      <c r="J106" s="304">
        <v>80.010000000000005</v>
      </c>
      <c r="K106" s="289"/>
      <c r="L106" s="288"/>
    </row>
    <row r="107" spans="1:12" s="35" customFormat="1" ht="30" x14ac:dyDescent="0.25">
      <c r="A107" s="291" t="s">
        <v>455</v>
      </c>
      <c r="B107" s="297" t="s">
        <v>454</v>
      </c>
      <c r="C107" s="302">
        <f t="shared" si="16"/>
        <v>208740.37328550001</v>
      </c>
      <c r="D107" s="306">
        <f t="shared" si="17"/>
        <v>13463.754076914751</v>
      </c>
      <c r="E107" s="306">
        <f t="shared" si="14"/>
        <v>19830.335462122501</v>
      </c>
      <c r="F107" s="302">
        <f t="shared" si="9"/>
        <v>246689.37314880392</v>
      </c>
      <c r="G107" s="306">
        <f t="shared" si="15"/>
        <v>246689.37314880392</v>
      </c>
      <c r="H107" s="303">
        <f t="shared" si="18"/>
        <v>125.90654860186422</v>
      </c>
      <c r="I107" s="303">
        <f t="shared" si="13"/>
        <v>125.90654860186422</v>
      </c>
      <c r="J107" s="304">
        <v>106.68</v>
      </c>
      <c r="K107" s="289"/>
      <c r="L107" s="288"/>
    </row>
    <row r="108" spans="1:12" s="35" customFormat="1" x14ac:dyDescent="0.25">
      <c r="A108" s="291" t="s">
        <v>457</v>
      </c>
      <c r="B108" s="297" t="s">
        <v>456</v>
      </c>
      <c r="C108" s="302">
        <f t="shared" si="16"/>
        <v>174732.98963624999</v>
      </c>
      <c r="D108" s="306">
        <f t="shared" si="17"/>
        <v>11270.277831538124</v>
      </c>
      <c r="E108" s="306">
        <f t="shared" si="14"/>
        <v>16599.634015443749</v>
      </c>
      <c r="F108" s="302">
        <f t="shared" si="9"/>
        <v>206499.44715212024</v>
      </c>
      <c r="G108" s="306">
        <f t="shared" si="15"/>
        <v>206499.44715212024</v>
      </c>
      <c r="H108" s="303">
        <f t="shared" si="18"/>
        <v>105.39421438082557</v>
      </c>
      <c r="I108" s="303">
        <f t="shared" si="13"/>
        <v>105.39421438082557</v>
      </c>
      <c r="J108" s="304">
        <v>89.3</v>
      </c>
      <c r="K108" s="289"/>
      <c r="L108" s="288"/>
    </row>
    <row r="109" spans="1:12" s="35" customFormat="1" x14ac:dyDescent="0.25">
      <c r="A109" s="291" t="s">
        <v>459</v>
      </c>
      <c r="B109" s="297" t="s">
        <v>458</v>
      </c>
      <c r="C109" s="302">
        <f t="shared" si="16"/>
        <v>208740.37328550001</v>
      </c>
      <c r="D109" s="306">
        <f t="shared" si="17"/>
        <v>13463.754076914751</v>
      </c>
      <c r="E109" s="306">
        <f t="shared" si="14"/>
        <v>19830.335462122501</v>
      </c>
      <c r="F109" s="302">
        <f t="shared" si="9"/>
        <v>246689.37314880392</v>
      </c>
      <c r="G109" s="306">
        <f t="shared" si="15"/>
        <v>246689.37314880392</v>
      </c>
      <c r="H109" s="303">
        <f t="shared" si="18"/>
        <v>125.90654860186422</v>
      </c>
      <c r="I109" s="303">
        <f t="shared" si="13"/>
        <v>125.90654860186422</v>
      </c>
      <c r="J109" s="304">
        <v>106.68</v>
      </c>
      <c r="K109" s="289"/>
      <c r="L109" s="288"/>
    </row>
    <row r="110" spans="1:12" x14ac:dyDescent="0.25">
      <c r="C110" s="84"/>
      <c r="D110" s="84"/>
      <c r="E110" s="84"/>
      <c r="F110" s="222"/>
      <c r="G110" s="84"/>
      <c r="H110" s="84"/>
      <c r="I110" s="84"/>
      <c r="J110" s="222"/>
      <c r="K110" s="222"/>
    </row>
    <row r="111" spans="1:12" x14ac:dyDescent="0.25">
      <c r="C111" s="84"/>
      <c r="D111" s="84"/>
      <c r="E111" s="84"/>
      <c r="F111" s="84"/>
      <c r="G111" s="84"/>
      <c r="H111" s="84"/>
      <c r="I111" s="84"/>
    </row>
    <row r="112" spans="1:12" x14ac:dyDescent="0.25">
      <c r="C112" s="84"/>
      <c r="D112" s="84"/>
      <c r="E112" s="84"/>
      <c r="F112" s="222"/>
      <c r="G112" s="84"/>
      <c r="H112" s="84"/>
      <c r="I112" s="84"/>
    </row>
    <row r="116" spans="3:9" x14ac:dyDescent="0.25">
      <c r="C116" s="84"/>
      <c r="D116" s="84"/>
      <c r="E116" s="84"/>
      <c r="F116" s="84"/>
      <c r="G116" s="84"/>
      <c r="H116" s="84"/>
      <c r="I116" s="84"/>
    </row>
    <row r="117" spans="3:9" x14ac:dyDescent="0.25">
      <c r="C117" s="84"/>
      <c r="D117" s="84"/>
      <c r="E117" s="84"/>
      <c r="F117" s="84"/>
      <c r="G117" s="84"/>
      <c r="H117" s="84"/>
      <c r="I117" s="84"/>
    </row>
    <row r="118" spans="3:9" x14ac:dyDescent="0.25">
      <c r="C118" s="84"/>
      <c r="D118" s="84"/>
      <c r="E118" s="84"/>
      <c r="F118" s="84"/>
      <c r="G118" s="84"/>
      <c r="H118" s="84"/>
      <c r="I118" s="84"/>
    </row>
    <row r="119" spans="3:9" x14ac:dyDescent="0.25">
      <c r="E119" s="84"/>
      <c r="F119" s="84"/>
      <c r="G119" s="84"/>
      <c r="H119" s="84"/>
      <c r="I119" s="84"/>
    </row>
    <row r="120" spans="3:9" x14ac:dyDescent="0.25">
      <c r="E120" s="84"/>
      <c r="F120" s="84"/>
      <c r="G120" s="84"/>
      <c r="H120" s="84"/>
      <c r="I120" s="84"/>
    </row>
    <row r="121" spans="3:9" x14ac:dyDescent="0.25">
      <c r="E121" s="84"/>
      <c r="F121" s="84"/>
      <c r="G121" s="84"/>
      <c r="H121" s="84"/>
      <c r="I121" s="84"/>
    </row>
    <row r="122" spans="3:9" x14ac:dyDescent="0.25">
      <c r="E122" s="84"/>
      <c r="F122" s="84"/>
      <c r="G122" s="84"/>
      <c r="H122" s="84"/>
      <c r="I122" s="84"/>
    </row>
    <row r="123" spans="3:9" x14ac:dyDescent="0.25">
      <c r="E123" s="84"/>
      <c r="F123" s="84"/>
      <c r="G123" s="84"/>
      <c r="H123" s="84"/>
      <c r="I123" s="84"/>
    </row>
    <row r="124" spans="3:9" x14ac:dyDescent="0.25">
      <c r="E124" s="84"/>
      <c r="F124" s="84"/>
      <c r="G124" s="84"/>
      <c r="H124" s="84"/>
      <c r="I124" s="84"/>
    </row>
    <row r="125" spans="3:9" x14ac:dyDescent="0.25">
      <c r="E125" s="84"/>
      <c r="F125" s="84"/>
      <c r="G125" s="84"/>
      <c r="H125" s="84"/>
      <c r="I125" s="84"/>
    </row>
    <row r="126" spans="3:9" x14ac:dyDescent="0.25">
      <c r="E126" s="84"/>
      <c r="F126" s="84"/>
      <c r="G126" s="84"/>
      <c r="H126" s="84"/>
      <c r="I126" s="84"/>
    </row>
    <row r="127" spans="3:9" x14ac:dyDescent="0.25">
      <c r="E127" s="84"/>
      <c r="F127" s="84"/>
      <c r="G127" s="84"/>
      <c r="H127" s="84"/>
      <c r="I127" s="84"/>
    </row>
    <row r="128" spans="3:9" x14ac:dyDescent="0.25">
      <c r="E128" s="84"/>
      <c r="F128" s="84"/>
      <c r="G128" s="84"/>
      <c r="H128" s="84"/>
      <c r="I128" s="84"/>
    </row>
    <row r="129" spans="3:9" x14ac:dyDescent="0.25">
      <c r="E129" s="84"/>
      <c r="F129" s="84"/>
      <c r="G129" s="84"/>
      <c r="H129" s="84"/>
      <c r="I129" s="84"/>
    </row>
    <row r="130" spans="3:9" x14ac:dyDescent="0.25">
      <c r="C130" s="80"/>
      <c r="D130" s="80"/>
      <c r="E130" s="80"/>
      <c r="F130" s="79"/>
      <c r="G130" s="79"/>
      <c r="H130" s="79"/>
      <c r="I130" s="79"/>
    </row>
    <row r="131" spans="3:9" x14ac:dyDescent="0.25">
      <c r="C131" s="80"/>
      <c r="D131" s="80"/>
      <c r="E131" s="80"/>
      <c r="F131" s="79"/>
      <c r="G131" s="79"/>
      <c r="H131" s="79"/>
      <c r="I131" s="79"/>
    </row>
    <row r="132" spans="3:9" x14ac:dyDescent="0.25">
      <c r="C132" s="80"/>
      <c r="D132" s="80"/>
      <c r="E132" s="80"/>
      <c r="F132" s="79"/>
      <c r="G132" s="79"/>
      <c r="H132" s="79"/>
      <c r="I132" s="79"/>
    </row>
    <row r="133" spans="3:9" x14ac:dyDescent="0.25">
      <c r="C133" s="80"/>
      <c r="D133" s="80"/>
      <c r="E133" s="80"/>
      <c r="F133" s="79"/>
      <c r="G133" s="79"/>
      <c r="H133" s="79"/>
      <c r="I133" s="79"/>
    </row>
    <row r="134" spans="3:9" x14ac:dyDescent="0.25">
      <c r="C134" s="80"/>
      <c r="D134" s="80"/>
      <c r="E134" s="80"/>
      <c r="F134" s="79"/>
      <c r="G134" s="79"/>
      <c r="H134" s="79"/>
      <c r="I134" s="79"/>
    </row>
    <row r="135" spans="3:9" x14ac:dyDescent="0.25">
      <c r="C135" s="80"/>
      <c r="D135" s="80"/>
      <c r="E135" s="80"/>
      <c r="F135" s="79"/>
      <c r="G135" s="79"/>
      <c r="H135" s="79"/>
      <c r="I135" s="79"/>
    </row>
    <row r="136" spans="3:9" x14ac:dyDescent="0.25">
      <c r="C136" s="80"/>
      <c r="D136" s="80"/>
      <c r="E136" s="80"/>
      <c r="F136" s="79"/>
      <c r="G136" s="79"/>
      <c r="H136" s="79"/>
      <c r="I136" s="79"/>
    </row>
    <row r="137" spans="3:9" x14ac:dyDescent="0.25">
      <c r="C137" s="80"/>
      <c r="D137" s="80"/>
      <c r="E137" s="80"/>
      <c r="F137" s="79"/>
      <c r="G137" s="79"/>
      <c r="H137" s="79"/>
      <c r="I137" s="79"/>
    </row>
    <row r="138" spans="3:9" x14ac:dyDescent="0.25">
      <c r="C138" s="80"/>
      <c r="D138" s="80"/>
      <c r="E138" s="80"/>
      <c r="F138" s="79"/>
      <c r="G138" s="79"/>
      <c r="H138" s="79"/>
      <c r="I138" s="79"/>
    </row>
    <row r="139" spans="3:9" x14ac:dyDescent="0.25">
      <c r="C139" s="80"/>
      <c r="D139" s="80"/>
      <c r="E139" s="80"/>
      <c r="F139" s="79"/>
      <c r="G139" s="79"/>
      <c r="H139" s="79"/>
      <c r="I139" s="79"/>
    </row>
    <row r="140" spans="3:9" x14ac:dyDescent="0.25">
      <c r="C140" s="80"/>
      <c r="D140" s="80"/>
      <c r="E140" s="80"/>
      <c r="F140" s="79"/>
      <c r="G140" s="79"/>
      <c r="H140" s="79"/>
      <c r="I140" s="79"/>
    </row>
    <row r="141" spans="3:9" x14ac:dyDescent="0.25">
      <c r="C141" s="80"/>
      <c r="D141" s="80"/>
      <c r="E141" s="80"/>
      <c r="F141" s="79"/>
      <c r="G141" s="79"/>
      <c r="H141" s="79"/>
      <c r="I141" s="79"/>
    </row>
    <row r="142" spans="3:9" x14ac:dyDescent="0.25">
      <c r="C142" s="80"/>
      <c r="D142" s="80"/>
      <c r="E142" s="80"/>
      <c r="F142" s="79"/>
      <c r="G142" s="79"/>
      <c r="H142" s="79"/>
      <c r="I142" s="79"/>
    </row>
    <row r="143" spans="3:9" x14ac:dyDescent="0.25">
      <c r="C143" s="80"/>
      <c r="D143" s="80"/>
      <c r="E143" s="80"/>
      <c r="F143" s="79"/>
      <c r="G143" s="79"/>
      <c r="H143" s="79"/>
      <c r="I143" s="79"/>
    </row>
    <row r="144" spans="3:9" x14ac:dyDescent="0.25">
      <c r="C144" s="80"/>
      <c r="D144" s="80"/>
      <c r="E144" s="80"/>
      <c r="F144" s="79"/>
      <c r="G144" s="79"/>
      <c r="H144" s="79"/>
      <c r="I144" s="79"/>
    </row>
    <row r="145" spans="3:9" x14ac:dyDescent="0.25">
      <c r="C145" s="80"/>
      <c r="D145" s="80"/>
      <c r="E145" s="80"/>
      <c r="F145" s="79"/>
      <c r="G145" s="79"/>
      <c r="H145" s="79"/>
      <c r="I145" s="79"/>
    </row>
    <row r="146" spans="3:9" x14ac:dyDescent="0.25">
      <c r="C146" s="80"/>
      <c r="D146" s="80"/>
      <c r="E146" s="80"/>
      <c r="F146" s="79"/>
      <c r="G146" s="79"/>
      <c r="H146" s="79"/>
      <c r="I146" s="79"/>
    </row>
    <row r="147" spans="3:9" x14ac:dyDescent="0.25">
      <c r="C147" s="80"/>
      <c r="D147" s="80"/>
      <c r="E147" s="80"/>
      <c r="F147" s="79"/>
      <c r="G147" s="79"/>
      <c r="H147" s="79"/>
      <c r="I147" s="79"/>
    </row>
    <row r="148" spans="3:9" x14ac:dyDescent="0.25">
      <c r="C148" s="80"/>
      <c r="D148" s="80"/>
      <c r="E148" s="80"/>
      <c r="F148" s="79"/>
      <c r="G148" s="79"/>
      <c r="H148" s="79"/>
      <c r="I148" s="79"/>
    </row>
    <row r="149" spans="3:9" x14ac:dyDescent="0.25">
      <c r="C149" s="80"/>
      <c r="D149" s="80"/>
      <c r="E149" s="80"/>
      <c r="F149" s="79"/>
      <c r="G149" s="79"/>
      <c r="H149" s="79"/>
      <c r="I149" s="79"/>
    </row>
    <row r="150" spans="3:9" x14ac:dyDescent="0.25">
      <c r="C150" s="80"/>
      <c r="D150" s="80"/>
      <c r="E150" s="80"/>
      <c r="F150" s="79"/>
      <c r="G150" s="79"/>
      <c r="H150" s="79"/>
      <c r="I150" s="79"/>
    </row>
    <row r="151" spans="3:9" x14ac:dyDescent="0.25">
      <c r="C151" s="80"/>
      <c r="D151" s="80"/>
      <c r="E151" s="80"/>
      <c r="F151" s="79"/>
      <c r="G151" s="79"/>
      <c r="H151" s="79"/>
      <c r="I151" s="79"/>
    </row>
    <row r="152" spans="3:9" x14ac:dyDescent="0.25">
      <c r="C152" s="80"/>
      <c r="D152" s="80"/>
      <c r="E152" s="80"/>
      <c r="F152" s="79"/>
      <c r="G152" s="79"/>
      <c r="H152" s="79"/>
      <c r="I152" s="79"/>
    </row>
    <row r="153" spans="3:9" x14ac:dyDescent="0.25">
      <c r="C153" s="80"/>
      <c r="D153" s="80"/>
      <c r="E153" s="80"/>
      <c r="F153" s="79"/>
      <c r="G153" s="79"/>
      <c r="H153" s="79"/>
      <c r="I153" s="79"/>
    </row>
    <row r="154" spans="3:9" x14ac:dyDescent="0.25">
      <c r="C154" s="80"/>
      <c r="D154" s="80"/>
      <c r="E154" s="80"/>
      <c r="F154" s="79"/>
      <c r="G154" s="79"/>
      <c r="H154" s="79"/>
      <c r="I154" s="79"/>
    </row>
    <row r="155" spans="3:9" x14ac:dyDescent="0.25">
      <c r="C155" s="80"/>
      <c r="D155" s="80"/>
      <c r="E155" s="80"/>
      <c r="F155" s="79"/>
      <c r="G155" s="79"/>
      <c r="H155" s="79"/>
      <c r="I155" s="79"/>
    </row>
    <row r="156" spans="3:9" x14ac:dyDescent="0.25">
      <c r="C156" s="80"/>
      <c r="D156" s="80"/>
      <c r="E156" s="80"/>
      <c r="F156" s="79"/>
      <c r="G156" s="79"/>
      <c r="H156" s="79"/>
      <c r="I156" s="79"/>
    </row>
    <row r="157" spans="3:9" x14ac:dyDescent="0.25">
      <c r="C157" s="80"/>
      <c r="D157" s="80"/>
      <c r="E157" s="80"/>
      <c r="F157" s="79"/>
      <c r="G157" s="79"/>
      <c r="H157" s="79"/>
      <c r="I157" s="79"/>
    </row>
    <row r="158" spans="3:9" x14ac:dyDescent="0.25">
      <c r="C158" s="80"/>
      <c r="D158" s="80"/>
      <c r="E158" s="80"/>
      <c r="F158" s="79"/>
      <c r="G158" s="79"/>
      <c r="H158" s="79"/>
      <c r="I158" s="79"/>
    </row>
    <row r="159" spans="3:9" x14ac:dyDescent="0.25">
      <c r="C159" s="80"/>
      <c r="D159" s="80"/>
      <c r="E159" s="80"/>
      <c r="F159" s="79"/>
      <c r="G159" s="79"/>
      <c r="H159" s="79"/>
      <c r="I159" s="79"/>
    </row>
    <row r="160" spans="3:9" x14ac:dyDescent="0.25">
      <c r="C160" s="80"/>
      <c r="D160" s="80"/>
      <c r="E160" s="80"/>
      <c r="F160" s="79"/>
      <c r="G160" s="79"/>
      <c r="H160" s="79"/>
      <c r="I160" s="79"/>
    </row>
    <row r="161" spans="3:9" x14ac:dyDescent="0.25">
      <c r="C161" s="80"/>
      <c r="D161" s="80"/>
      <c r="E161" s="80"/>
      <c r="F161" s="79"/>
      <c r="G161" s="79"/>
      <c r="H161" s="79"/>
      <c r="I161" s="79"/>
    </row>
    <row r="162" spans="3:9" x14ac:dyDescent="0.25">
      <c r="C162" s="80"/>
      <c r="D162" s="80"/>
      <c r="E162" s="80"/>
      <c r="F162" s="79"/>
      <c r="G162" s="79"/>
      <c r="H162" s="79"/>
      <c r="I162" s="79"/>
    </row>
    <row r="163" spans="3:9" x14ac:dyDescent="0.25">
      <c r="C163" s="80"/>
      <c r="D163" s="80"/>
      <c r="E163" s="80"/>
      <c r="F163" s="79"/>
      <c r="G163" s="79"/>
      <c r="H163" s="79"/>
      <c r="I163" s="79"/>
    </row>
    <row r="164" spans="3:9" x14ac:dyDescent="0.25">
      <c r="C164" s="80"/>
      <c r="D164" s="80"/>
      <c r="E164" s="80"/>
      <c r="F164" s="79"/>
      <c r="G164" s="79"/>
      <c r="H164" s="79"/>
      <c r="I164" s="79"/>
    </row>
    <row r="165" spans="3:9" x14ac:dyDescent="0.25">
      <c r="C165" s="80"/>
      <c r="D165" s="80"/>
      <c r="E165" s="80"/>
      <c r="F165" s="79"/>
      <c r="G165" s="79"/>
      <c r="H165" s="79"/>
      <c r="I165" s="79"/>
    </row>
    <row r="166" spans="3:9" x14ac:dyDescent="0.25">
      <c r="C166" s="80"/>
      <c r="D166" s="80"/>
      <c r="E166" s="80"/>
      <c r="F166" s="79"/>
      <c r="G166" s="79"/>
      <c r="H166" s="79"/>
      <c r="I166" s="79"/>
    </row>
    <row r="167" spans="3:9" x14ac:dyDescent="0.25">
      <c r="C167" s="80"/>
      <c r="D167" s="80"/>
      <c r="E167" s="80"/>
      <c r="F167" s="79"/>
      <c r="G167" s="79"/>
      <c r="H167" s="79"/>
      <c r="I167" s="79"/>
    </row>
    <row r="168" spans="3:9" x14ac:dyDescent="0.25">
      <c r="C168" s="80"/>
      <c r="D168" s="80"/>
      <c r="E168" s="80"/>
      <c r="F168" s="79"/>
      <c r="G168" s="79"/>
      <c r="H168" s="79"/>
      <c r="I168" s="79"/>
    </row>
    <row r="169" spans="3:9" x14ac:dyDescent="0.25">
      <c r="C169" s="80"/>
      <c r="D169" s="80"/>
      <c r="E169" s="80"/>
      <c r="F169" s="79"/>
      <c r="G169" s="79"/>
      <c r="H169" s="79"/>
      <c r="I169" s="79"/>
    </row>
    <row r="170" spans="3:9" x14ac:dyDescent="0.25">
      <c r="C170" s="80"/>
      <c r="D170" s="80"/>
      <c r="E170" s="80"/>
      <c r="F170" s="79"/>
      <c r="G170" s="79"/>
      <c r="H170" s="79"/>
      <c r="I170" s="79"/>
    </row>
    <row r="171" spans="3:9" x14ac:dyDescent="0.25">
      <c r="C171" s="80"/>
      <c r="D171" s="80"/>
      <c r="E171" s="80"/>
      <c r="F171" s="79"/>
      <c r="G171" s="79"/>
      <c r="H171" s="79"/>
      <c r="I171" s="79"/>
    </row>
    <row r="172" spans="3:9" x14ac:dyDescent="0.25">
      <c r="C172" s="80"/>
      <c r="D172" s="80"/>
      <c r="E172" s="80"/>
      <c r="F172" s="79"/>
      <c r="G172" s="79"/>
      <c r="H172" s="79"/>
      <c r="I172" s="79"/>
    </row>
    <row r="173" spans="3:9" x14ac:dyDescent="0.25">
      <c r="C173" s="80"/>
      <c r="D173" s="80"/>
      <c r="E173" s="80"/>
      <c r="F173" s="79"/>
      <c r="G173" s="79"/>
      <c r="H173" s="79"/>
      <c r="I173" s="79"/>
    </row>
    <row r="174" spans="3:9" x14ac:dyDescent="0.25">
      <c r="C174" s="80"/>
      <c r="D174" s="80"/>
      <c r="E174" s="80"/>
      <c r="F174" s="79"/>
      <c r="G174" s="79"/>
      <c r="H174" s="79"/>
      <c r="I174" s="79"/>
    </row>
    <row r="175" spans="3:9" x14ac:dyDescent="0.25">
      <c r="C175" s="80"/>
      <c r="D175" s="80"/>
      <c r="E175" s="80"/>
      <c r="F175" s="79"/>
      <c r="G175" s="79"/>
      <c r="H175" s="79"/>
      <c r="I175" s="79"/>
    </row>
    <row r="176" spans="3:9" x14ac:dyDescent="0.25">
      <c r="C176" s="80"/>
      <c r="D176" s="80"/>
      <c r="E176" s="80"/>
      <c r="F176" s="79"/>
      <c r="G176" s="79"/>
      <c r="H176" s="79"/>
      <c r="I176" s="79"/>
    </row>
    <row r="177" spans="3:9" x14ac:dyDescent="0.25">
      <c r="C177" s="80"/>
      <c r="D177" s="80"/>
      <c r="E177" s="80"/>
      <c r="F177" s="79"/>
      <c r="G177" s="79"/>
      <c r="H177" s="79"/>
      <c r="I177" s="79"/>
    </row>
    <row r="178" spans="3:9" x14ac:dyDescent="0.25">
      <c r="C178" s="80"/>
      <c r="D178" s="80"/>
      <c r="E178" s="80"/>
      <c r="F178" s="79"/>
      <c r="G178" s="79"/>
      <c r="H178" s="79"/>
      <c r="I178" s="79"/>
    </row>
    <row r="179" spans="3:9" x14ac:dyDescent="0.25">
      <c r="C179" s="80"/>
      <c r="D179" s="80"/>
      <c r="E179" s="80"/>
      <c r="F179" s="79"/>
      <c r="G179" s="79"/>
      <c r="H179" s="79"/>
      <c r="I179" s="79"/>
    </row>
    <row r="180" spans="3:9" x14ac:dyDescent="0.25">
      <c r="C180" s="80"/>
      <c r="D180" s="80"/>
      <c r="E180" s="80"/>
      <c r="F180" s="79"/>
      <c r="G180" s="79"/>
      <c r="H180" s="79"/>
      <c r="I180" s="79"/>
    </row>
    <row r="181" spans="3:9" x14ac:dyDescent="0.25">
      <c r="C181" s="80"/>
      <c r="D181" s="80"/>
      <c r="E181" s="80"/>
      <c r="F181" s="79"/>
      <c r="G181" s="79"/>
      <c r="H181" s="79"/>
      <c r="I181" s="79"/>
    </row>
    <row r="182" spans="3:9" x14ac:dyDescent="0.25">
      <c r="C182" s="80"/>
      <c r="D182" s="80"/>
      <c r="E182" s="80"/>
      <c r="F182" s="79"/>
      <c r="G182" s="79"/>
      <c r="H182" s="79"/>
      <c r="I182" s="79"/>
    </row>
    <row r="183" spans="3:9" x14ac:dyDescent="0.25">
      <c r="C183" s="80"/>
      <c r="D183" s="80"/>
      <c r="E183" s="80"/>
      <c r="F183" s="79"/>
      <c r="G183" s="79"/>
      <c r="H183" s="79"/>
      <c r="I183" s="79"/>
    </row>
    <row r="184" spans="3:9" x14ac:dyDescent="0.25">
      <c r="C184" s="80"/>
      <c r="D184" s="80"/>
      <c r="E184" s="80"/>
      <c r="F184" s="79"/>
      <c r="G184" s="79"/>
      <c r="H184" s="79"/>
      <c r="I184" s="79"/>
    </row>
    <row r="185" spans="3:9" x14ac:dyDescent="0.25">
      <c r="C185" s="80"/>
      <c r="D185" s="80"/>
      <c r="E185" s="80"/>
      <c r="F185" s="79"/>
      <c r="G185" s="79"/>
      <c r="H185" s="79"/>
      <c r="I185" s="79"/>
    </row>
    <row r="186" spans="3:9" x14ac:dyDescent="0.25">
      <c r="C186" s="80"/>
      <c r="D186" s="80"/>
      <c r="E186" s="80"/>
      <c r="F186" s="79"/>
      <c r="G186" s="79"/>
      <c r="H186" s="79"/>
      <c r="I186" s="79"/>
    </row>
    <row r="187" spans="3:9" x14ac:dyDescent="0.25">
      <c r="C187" s="80"/>
      <c r="D187" s="80"/>
      <c r="E187" s="80"/>
      <c r="F187" s="79"/>
      <c r="G187" s="79"/>
      <c r="H187" s="79"/>
      <c r="I187" s="79"/>
    </row>
    <row r="188" spans="3:9" x14ac:dyDescent="0.25">
      <c r="C188" s="80"/>
      <c r="D188" s="80"/>
      <c r="E188" s="80"/>
      <c r="F188" s="79"/>
      <c r="G188" s="79"/>
      <c r="H188" s="79"/>
      <c r="I188" s="79"/>
    </row>
    <row r="189" spans="3:9" x14ac:dyDescent="0.25">
      <c r="C189" s="80"/>
      <c r="D189" s="80"/>
      <c r="E189" s="80"/>
      <c r="F189" s="79"/>
      <c r="G189" s="79"/>
      <c r="H189" s="79"/>
      <c r="I189" s="79"/>
    </row>
    <row r="190" spans="3:9" x14ac:dyDescent="0.25">
      <c r="C190" s="80"/>
      <c r="D190" s="80"/>
      <c r="E190" s="80"/>
      <c r="F190" s="79"/>
      <c r="G190" s="79"/>
      <c r="H190" s="79"/>
      <c r="I190" s="79"/>
    </row>
    <row r="191" spans="3:9" x14ac:dyDescent="0.25">
      <c r="C191" s="80"/>
      <c r="D191" s="80"/>
      <c r="E191" s="80"/>
      <c r="F191" s="79"/>
      <c r="G191" s="79"/>
      <c r="H191" s="79"/>
      <c r="I191" s="79"/>
    </row>
    <row r="192" spans="3:9" x14ac:dyDescent="0.25">
      <c r="C192" s="80"/>
      <c r="D192" s="80"/>
      <c r="E192" s="80"/>
      <c r="F192" s="79"/>
      <c r="G192" s="79"/>
      <c r="H192" s="79"/>
      <c r="I192" s="79"/>
    </row>
    <row r="193" spans="3:9" x14ac:dyDescent="0.25">
      <c r="C193" s="80"/>
      <c r="D193" s="80"/>
      <c r="E193" s="80"/>
      <c r="F193" s="79"/>
      <c r="G193" s="79"/>
      <c r="H193" s="79"/>
      <c r="I193" s="79"/>
    </row>
    <row r="194" spans="3:9" x14ac:dyDescent="0.25">
      <c r="C194" s="80"/>
      <c r="D194" s="80"/>
      <c r="E194" s="80"/>
      <c r="F194" s="79"/>
      <c r="G194" s="79"/>
      <c r="H194" s="79"/>
      <c r="I194" s="79"/>
    </row>
    <row r="195" spans="3:9" x14ac:dyDescent="0.25">
      <c r="C195" s="80"/>
      <c r="D195" s="80"/>
      <c r="E195" s="80"/>
      <c r="F195" s="79"/>
      <c r="G195" s="79"/>
      <c r="H195" s="79"/>
      <c r="I195" s="79"/>
    </row>
    <row r="196" spans="3:9" x14ac:dyDescent="0.25">
      <c r="C196" s="80"/>
      <c r="D196" s="80"/>
      <c r="E196" s="80"/>
      <c r="F196" s="79"/>
      <c r="G196" s="79"/>
      <c r="H196" s="79"/>
      <c r="I196" s="79"/>
    </row>
    <row r="197" spans="3:9" x14ac:dyDescent="0.25">
      <c r="C197" s="80"/>
      <c r="D197" s="80"/>
      <c r="E197" s="80"/>
      <c r="F197" s="79"/>
      <c r="G197" s="79"/>
      <c r="H197" s="79"/>
      <c r="I197" s="79"/>
    </row>
    <row r="198" spans="3:9" x14ac:dyDescent="0.25">
      <c r="C198" s="80"/>
      <c r="D198" s="80"/>
      <c r="E198" s="80"/>
      <c r="F198" s="79"/>
      <c r="G198" s="79"/>
      <c r="H198" s="79"/>
      <c r="I198" s="79"/>
    </row>
    <row r="199" spans="3:9" x14ac:dyDescent="0.25">
      <c r="C199" s="80"/>
      <c r="D199" s="80"/>
      <c r="E199" s="80"/>
      <c r="F199" s="79"/>
      <c r="G199" s="79"/>
      <c r="H199" s="79"/>
      <c r="I199" s="79"/>
    </row>
    <row r="200" spans="3:9" x14ac:dyDescent="0.25">
      <c r="C200" s="80"/>
      <c r="D200" s="80"/>
      <c r="E200" s="80"/>
      <c r="F200" s="79"/>
      <c r="G200" s="79"/>
      <c r="H200" s="79"/>
      <c r="I200" s="79"/>
    </row>
    <row r="201" spans="3:9" x14ac:dyDescent="0.25">
      <c r="C201" s="80"/>
      <c r="D201" s="80"/>
      <c r="E201" s="80"/>
      <c r="F201" s="79"/>
      <c r="G201" s="79"/>
      <c r="H201" s="79"/>
      <c r="I201" s="79"/>
    </row>
    <row r="202" spans="3:9" x14ac:dyDescent="0.25">
      <c r="C202" s="80"/>
      <c r="D202" s="80"/>
      <c r="E202" s="80"/>
      <c r="F202" s="79"/>
      <c r="G202" s="79"/>
      <c r="H202" s="79"/>
      <c r="I202" s="79"/>
    </row>
    <row r="203" spans="3:9" x14ac:dyDescent="0.25">
      <c r="C203" s="80"/>
      <c r="D203" s="80"/>
      <c r="E203" s="80"/>
      <c r="F203" s="79"/>
      <c r="G203" s="79"/>
      <c r="H203" s="79"/>
      <c r="I203" s="79"/>
    </row>
    <row r="204" spans="3:9" x14ac:dyDescent="0.25">
      <c r="C204" s="80"/>
      <c r="D204" s="80"/>
      <c r="E204" s="80"/>
      <c r="F204" s="79"/>
      <c r="G204" s="79"/>
      <c r="H204" s="79"/>
      <c r="I204" s="79"/>
    </row>
    <row r="205" spans="3:9" x14ac:dyDescent="0.25">
      <c r="C205" s="80"/>
      <c r="D205" s="80"/>
      <c r="E205" s="80"/>
      <c r="F205" s="79"/>
      <c r="G205" s="79"/>
      <c r="H205" s="79"/>
      <c r="I205" s="79"/>
    </row>
    <row r="206" spans="3:9" x14ac:dyDescent="0.25">
      <c r="C206" s="80"/>
      <c r="D206" s="80"/>
      <c r="E206" s="80"/>
      <c r="F206" s="79"/>
      <c r="G206" s="79"/>
      <c r="H206" s="79"/>
      <c r="I206" s="79"/>
    </row>
    <row r="207" spans="3:9" x14ac:dyDescent="0.25">
      <c r="C207" s="80"/>
      <c r="D207" s="80"/>
      <c r="E207" s="80"/>
      <c r="F207" s="79"/>
      <c r="G207" s="79"/>
      <c r="H207" s="79"/>
      <c r="I207" s="79"/>
    </row>
    <row r="208" spans="3:9" x14ac:dyDescent="0.25">
      <c r="C208" s="80"/>
      <c r="D208" s="80"/>
      <c r="E208" s="80"/>
      <c r="F208" s="79"/>
      <c r="G208" s="79"/>
      <c r="H208" s="79"/>
      <c r="I208" s="79"/>
    </row>
    <row r="209" spans="3:9" x14ac:dyDescent="0.25">
      <c r="C209" s="80"/>
      <c r="D209" s="80"/>
      <c r="E209" s="80"/>
      <c r="F209" s="79"/>
      <c r="G209" s="79"/>
      <c r="H209" s="79"/>
      <c r="I209" s="79"/>
    </row>
    <row r="210" spans="3:9" x14ac:dyDescent="0.25">
      <c r="C210" s="80"/>
      <c r="D210" s="80"/>
      <c r="E210" s="80"/>
      <c r="F210" s="79"/>
      <c r="G210" s="79"/>
      <c r="H210" s="79"/>
      <c r="I210" s="79"/>
    </row>
    <row r="211" spans="3:9" x14ac:dyDescent="0.25">
      <c r="C211" s="80"/>
      <c r="D211" s="80"/>
      <c r="E211" s="80"/>
      <c r="F211" s="79"/>
      <c r="G211" s="79"/>
      <c r="H211" s="79"/>
      <c r="I211" s="79"/>
    </row>
    <row r="212" spans="3:9" x14ac:dyDescent="0.25">
      <c r="C212" s="80"/>
      <c r="D212" s="80"/>
      <c r="E212" s="80"/>
      <c r="F212" s="79"/>
      <c r="G212" s="79"/>
      <c r="H212" s="79"/>
      <c r="I212" s="79"/>
    </row>
    <row r="213" spans="3:9" x14ac:dyDescent="0.25">
      <c r="C213" s="80"/>
      <c r="D213" s="80"/>
      <c r="E213" s="80"/>
      <c r="F213" s="79"/>
      <c r="G213" s="79"/>
      <c r="H213" s="79"/>
      <c r="I213" s="79"/>
    </row>
    <row r="214" spans="3:9" x14ac:dyDescent="0.25">
      <c r="C214" s="80"/>
      <c r="D214" s="80"/>
      <c r="E214" s="80"/>
      <c r="F214" s="79"/>
      <c r="G214" s="79"/>
      <c r="H214" s="79"/>
      <c r="I214" s="79"/>
    </row>
    <row r="215" spans="3:9" x14ac:dyDescent="0.25">
      <c r="C215" s="80"/>
      <c r="D215" s="80"/>
      <c r="E215" s="80"/>
      <c r="F215" s="79"/>
      <c r="G215" s="79"/>
      <c r="H215" s="79"/>
      <c r="I215" s="79"/>
    </row>
    <row r="216" spans="3:9" x14ac:dyDescent="0.25">
      <c r="C216" s="80"/>
      <c r="D216" s="80"/>
      <c r="E216" s="80"/>
      <c r="F216" s="79"/>
      <c r="G216" s="79"/>
      <c r="H216" s="79"/>
      <c r="I216" s="79"/>
    </row>
    <row r="217" spans="3:9" x14ac:dyDescent="0.25">
      <c r="C217" s="80"/>
      <c r="D217" s="80"/>
      <c r="E217" s="80"/>
      <c r="F217" s="79"/>
      <c r="G217" s="79"/>
      <c r="H217" s="79"/>
      <c r="I217" s="79"/>
    </row>
    <row r="218" spans="3:9" x14ac:dyDescent="0.25">
      <c r="C218" s="80"/>
      <c r="D218" s="80"/>
      <c r="E218" s="80"/>
      <c r="F218" s="79"/>
      <c r="G218" s="79"/>
      <c r="H218" s="79"/>
      <c r="I218" s="79"/>
    </row>
    <row r="219" spans="3:9" x14ac:dyDescent="0.25">
      <c r="C219" s="80"/>
      <c r="D219" s="80"/>
      <c r="E219" s="80"/>
      <c r="F219" s="79"/>
      <c r="G219" s="79"/>
      <c r="H219" s="79"/>
      <c r="I219" s="79"/>
    </row>
    <row r="220" spans="3:9" x14ac:dyDescent="0.25">
      <c r="C220" s="80"/>
      <c r="D220" s="80"/>
      <c r="E220" s="80"/>
      <c r="F220" s="79"/>
      <c r="G220" s="79"/>
      <c r="H220" s="79"/>
      <c r="I220" s="79"/>
    </row>
    <row r="221" spans="3:9" x14ac:dyDescent="0.25">
      <c r="C221" s="80"/>
      <c r="D221" s="80"/>
      <c r="E221" s="80"/>
      <c r="F221" s="79"/>
      <c r="G221" s="79"/>
      <c r="H221" s="79"/>
      <c r="I221" s="79"/>
    </row>
    <row r="222" spans="3:9" x14ac:dyDescent="0.25">
      <c r="C222" s="80"/>
      <c r="D222" s="80"/>
      <c r="E222" s="80"/>
      <c r="F222" s="79"/>
      <c r="G222" s="79"/>
      <c r="H222" s="79"/>
      <c r="I222" s="79"/>
    </row>
    <row r="223" spans="3:9" x14ac:dyDescent="0.25">
      <c r="C223" s="80"/>
      <c r="D223" s="80"/>
      <c r="E223" s="80"/>
      <c r="F223" s="79"/>
      <c r="G223" s="79"/>
      <c r="H223" s="79"/>
      <c r="I223" s="7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15</vt:i4>
      </vt:variant>
    </vt:vector>
  </HeadingPairs>
  <TitlesOfParts>
    <vt:vector size="28" baseType="lpstr">
      <vt:lpstr>User Guide</vt:lpstr>
      <vt:lpstr>OPA Budget </vt:lpstr>
      <vt:lpstr>Budgeted Staff Costs</vt:lpstr>
      <vt:lpstr>Non-Salary Expenses</vt:lpstr>
      <vt:lpstr>OPA Reconciliation</vt:lpstr>
      <vt:lpstr>Salary Cost Data - has formulas</vt:lpstr>
      <vt:lpstr>Distribution Flowchart</vt:lpstr>
      <vt:lpstr>2017 Salary Costs</vt:lpstr>
      <vt:lpstr>2018 Salary Costs</vt:lpstr>
      <vt:lpstr>2019 Salary Rates</vt:lpstr>
      <vt:lpstr>2020 Salary Rates</vt:lpstr>
      <vt:lpstr>2016 Salary Rates</vt:lpstr>
      <vt:lpstr>Lists</vt:lpstr>
      <vt:lpstr>'Salary Cost Data - has formulas'!AcaFTHrPayRates</vt:lpstr>
      <vt:lpstr>AcaFTHrPayRates</vt:lpstr>
      <vt:lpstr>'Budgeted Staff Costs'!AcaFTPayRates</vt:lpstr>
      <vt:lpstr>'Salary Cost Data - has formulas'!AcaFTPayRates</vt:lpstr>
      <vt:lpstr>AcaFTPayRates</vt:lpstr>
      <vt:lpstr>'Budgeted Staff Costs'!GenCasHrPayRates</vt:lpstr>
      <vt:lpstr>'Salary Cost Data - has formulas'!GenCasHrPayRates</vt:lpstr>
      <vt:lpstr>GenCasHrPayRates</vt:lpstr>
      <vt:lpstr>GenFTHrPayRates</vt:lpstr>
      <vt:lpstr>'Budgeted Staff Costs'!GenFTPayRates</vt:lpstr>
      <vt:lpstr>GenFTPayRates</vt:lpstr>
      <vt:lpstr>'Budgeted Staff Costs'!Print_Area</vt:lpstr>
      <vt:lpstr>'OPA Budget '!Print_Area</vt:lpstr>
      <vt:lpstr>'OPA Reconciliation'!Print_Area</vt:lpstr>
      <vt:lpstr>'User Guide'!Print_Area</vt:lpstr>
    </vt:vector>
  </TitlesOfParts>
  <Company>Charles Sturt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rjohns39</dc:creator>
  <cp:lastModifiedBy>Pigott, Beverley</cp:lastModifiedBy>
  <cp:lastPrinted>2017-02-15T01:37:23Z</cp:lastPrinted>
  <dcterms:created xsi:type="dcterms:W3CDTF">2017-02-09T04:46:52Z</dcterms:created>
  <dcterms:modified xsi:type="dcterms:W3CDTF">2020-01-17T03:18:57Z</dcterms:modified>
</cp:coreProperties>
</file>